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Current_ Treas_Files JUNE 2015\Treas_Files\5-Year Forecasts &amp; Assumptions Working\FY22\"/>
    </mc:Choice>
  </mc:AlternateContent>
  <bookViews>
    <workbookView xWindow="4416" yWindow="552" windowWidth="21432" windowHeight="20796"/>
  </bookViews>
  <sheets>
    <sheet name="ESSER I" sheetId="1" r:id="rId1"/>
    <sheet name="ESSER II" sheetId="2" r:id="rId2"/>
    <sheet name="ARP ESSER III" sheetId="3" r:id="rId3"/>
    <sheet name="ARP IDEA" sheetId="5" r:id="rId4"/>
    <sheet name="5 yr Forecast Distribution" sheetId="4" r:id="rId5"/>
    <sheet name="ESSER EXPLAINED" sheetId="6" r:id="rId6"/>
  </sheets>
  <definedNames>
    <definedName name="_xlnm.Print_Area" localSheetId="2">'ARP ESSER III'!$B$1:$H$44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 l="1"/>
  <c r="D9" i="6"/>
  <c r="D5" i="6"/>
  <c r="D20" i="6" s="1"/>
  <c r="F26" i="5" l="1"/>
  <c r="F28" i="5" s="1"/>
  <c r="E26" i="5"/>
  <c r="E28" i="5" s="1"/>
  <c r="D26" i="5"/>
  <c r="D28" i="5" s="1"/>
  <c r="H21" i="5"/>
  <c r="C28" i="5"/>
  <c r="H24" i="5"/>
  <c r="H5" i="5"/>
  <c r="I5" i="5" s="1"/>
  <c r="H26" i="5" l="1"/>
  <c r="D9" i="3"/>
  <c r="C17" i="3"/>
  <c r="D17" i="3" s="1"/>
  <c r="C4" i="3"/>
  <c r="D4" i="3"/>
  <c r="D18" i="3"/>
  <c r="D16" i="3"/>
  <c r="D8" i="3"/>
  <c r="D7" i="3"/>
  <c r="C18" i="3"/>
  <c r="C16" i="3"/>
  <c r="D25" i="2" l="1"/>
  <c r="D27" i="2" s="1"/>
  <c r="E25" i="2"/>
  <c r="F25" i="2"/>
  <c r="F27" i="2" s="1"/>
  <c r="G25" i="2"/>
  <c r="G27" i="2" s="1"/>
  <c r="C25" i="2"/>
  <c r="C27" i="2" s="1"/>
  <c r="E25" i="1"/>
  <c r="F25" i="1"/>
  <c r="E27" i="2" l="1"/>
  <c r="H25" i="2"/>
  <c r="H27" i="2" s="1"/>
  <c r="J29" i="3"/>
  <c r="J11" i="3"/>
  <c r="J26" i="3"/>
  <c r="J34" i="3"/>
  <c r="J33" i="3"/>
  <c r="J25" i="3"/>
  <c r="J18" i="3"/>
  <c r="J17" i="3"/>
  <c r="J14" i="3"/>
  <c r="J2" i="3"/>
  <c r="J42" i="3" l="1"/>
  <c r="J43" i="3" s="1"/>
  <c r="D14" i="4"/>
  <c r="C14" i="4"/>
  <c r="B14" i="4"/>
  <c r="F6" i="4"/>
  <c r="E19" i="4"/>
  <c r="F13" i="4"/>
  <c r="F14" i="4" s="1"/>
  <c r="D13" i="4"/>
  <c r="G13" i="4" s="1"/>
  <c r="D5" i="4"/>
  <c r="D19" i="4" s="1"/>
  <c r="E13" i="4"/>
  <c r="E14" i="4" s="1"/>
  <c r="C13" i="4"/>
  <c r="B13" i="4"/>
  <c r="E5" i="4"/>
  <c r="F12" i="4"/>
  <c r="E4" i="4"/>
  <c r="C12" i="4"/>
  <c r="B12" i="4"/>
  <c r="E12" i="4"/>
  <c r="E3" i="4"/>
  <c r="E6" i="4" s="1"/>
  <c r="E11" i="4"/>
  <c r="G11" i="4" s="1"/>
  <c r="D4" i="4"/>
  <c r="D6" i="4" s="1"/>
  <c r="D12" i="4"/>
  <c r="G12" i="4" s="1"/>
  <c r="G14" i="4" s="1"/>
  <c r="C5" i="4"/>
  <c r="C19" i="4" s="1"/>
  <c r="C4" i="4"/>
  <c r="C6" i="4" s="1"/>
  <c r="B5" i="4"/>
  <c r="B19" i="4" s="1"/>
  <c r="B4" i="4"/>
  <c r="G4" i="4" s="1"/>
  <c r="B3" i="4"/>
  <c r="B6" i="4" s="1"/>
  <c r="G42" i="3"/>
  <c r="E42" i="3"/>
  <c r="D42" i="3"/>
  <c r="C42" i="3"/>
  <c r="F42" i="3"/>
  <c r="G19" i="4" l="1"/>
  <c r="G5" i="4"/>
  <c r="G3" i="4"/>
  <c r="G6" i="4" s="1"/>
  <c r="G44" i="3"/>
  <c r="H42" i="3" l="1"/>
  <c r="E2" i="3" l="1"/>
  <c r="F44" i="3" l="1"/>
  <c r="E44" i="3"/>
  <c r="D44" i="3" l="1"/>
  <c r="H4" i="3"/>
  <c r="I4" i="3" s="1"/>
  <c r="C44" i="3"/>
  <c r="H44" i="3" l="1"/>
  <c r="H6" i="2" l="1"/>
  <c r="I6" i="2" s="1"/>
  <c r="G23" i="1" l="1"/>
  <c r="F23" i="1"/>
  <c r="E23" i="1"/>
  <c r="D23" i="1"/>
  <c r="D25" i="1" s="1"/>
  <c r="C23" i="1"/>
  <c r="C25" i="1" s="1"/>
  <c r="H5" i="1"/>
  <c r="I5" i="1" s="1"/>
  <c r="H21" i="1" l="1"/>
  <c r="H23" i="1" s="1"/>
</calcChain>
</file>

<file path=xl/sharedStrings.xml><?xml version="1.0" encoding="utf-8"?>
<sst xmlns="http://schemas.openxmlformats.org/spreadsheetml/2006/main" count="260" uniqueCount="142">
  <si>
    <t>Salaries</t>
  </si>
  <si>
    <t xml:space="preserve"> </t>
  </si>
  <si>
    <t>Benefits</t>
  </si>
  <si>
    <t xml:space="preserve">Purchased Services </t>
  </si>
  <si>
    <t>Capital Outlay</t>
  </si>
  <si>
    <t>3/12/20 - 9/30/22</t>
  </si>
  <si>
    <t>FY22</t>
  </si>
  <si>
    <t>FY21</t>
  </si>
  <si>
    <t xml:space="preserve">ESSER I </t>
  </si>
  <si>
    <t>Supplies</t>
  </si>
  <si>
    <t>CCIP Budget</t>
  </si>
  <si>
    <t xml:space="preserve">Total Expenditures </t>
  </si>
  <si>
    <t>Variance</t>
  </si>
  <si>
    <t>Fiscal Year</t>
  </si>
  <si>
    <t>Total     Grant</t>
  </si>
  <si>
    <t>ESSER II</t>
  </si>
  <si>
    <t>FY23</t>
  </si>
  <si>
    <t>3/12/20 - 9/30/23</t>
  </si>
  <si>
    <t>Bus</t>
  </si>
  <si>
    <t>FER due September 20, 2022</t>
  </si>
  <si>
    <t>FER due September 30, 2023</t>
  </si>
  <si>
    <t>FER due September 30, 2024</t>
  </si>
  <si>
    <t>.</t>
  </si>
  <si>
    <t>Remove from the 5 Year Forecast</t>
  </si>
  <si>
    <t>Total</t>
  </si>
  <si>
    <t>2020-2021</t>
  </si>
  <si>
    <t>2021-2022</t>
  </si>
  <si>
    <t>2022-2023</t>
  </si>
  <si>
    <t>New Reoccurring Cost (add back to the 5 Year Forecast in FY24)</t>
  </si>
  <si>
    <t>2023-2024</t>
  </si>
  <si>
    <t>Learning Loss</t>
  </si>
  <si>
    <t>Qualified Category</t>
  </si>
  <si>
    <t>Online learning</t>
  </si>
  <si>
    <t>Social emotional needs</t>
  </si>
  <si>
    <t>Improving air quality and ventilation</t>
  </si>
  <si>
    <t>Assessing students learning loss</t>
  </si>
  <si>
    <t>Student Learning &amp; Equity</t>
  </si>
  <si>
    <t>Student learning needs Continuity of service</t>
  </si>
  <si>
    <t>Student safety &amp; security</t>
  </si>
  <si>
    <t>Technology for student learning &amp; equity</t>
  </si>
  <si>
    <t>Differentiated student learning</t>
  </si>
  <si>
    <t>Student Social &amp; Emotional needs</t>
  </si>
  <si>
    <t>Qualified ESSER III Category</t>
  </si>
  <si>
    <t>Continuity of Operation/Social Dist/Equity</t>
  </si>
  <si>
    <t>Additional Supplies/Services Not in General Fund and will not be in future</t>
  </si>
  <si>
    <t>Salaries 3.01</t>
  </si>
  <si>
    <t>Benefits 3.02</t>
  </si>
  <si>
    <t>Purchased Services 3.04</t>
  </si>
  <si>
    <t>Supplies 3.05</t>
  </si>
  <si>
    <t>Capital Outlay 3.06</t>
  </si>
  <si>
    <t xml:space="preserve">20% Set Aside </t>
  </si>
  <si>
    <t>Student social &amp; emotional needs</t>
  </si>
  <si>
    <t>20% Set Aside for Learning Loss</t>
  </si>
  <si>
    <t>Academic Impact of Lost Instruction Time</t>
  </si>
  <si>
    <t>Stabilize workforce &amp; Avoid Layoffs</t>
  </si>
  <si>
    <t>Social emotional and mental health needs</t>
  </si>
  <si>
    <t>3/12/20 - 9/30/24</t>
  </si>
  <si>
    <t>CFDA</t>
  </si>
  <si>
    <t>P.O.#</t>
  </si>
  <si>
    <t>2210291, 2210571, 2210572, 2210594, 2210632</t>
  </si>
  <si>
    <t>2210012, 2210291, 2210332, 2210333, 2210354, 2210358, 2210375, 2210454, 2210531, 2210116</t>
  </si>
  <si>
    <t>P.O. #</t>
  </si>
  <si>
    <t>Receipt # 37306</t>
  </si>
  <si>
    <t>• training and professional development on sanitizing and minimizing the spread of infectious diseases;</t>
  </si>
  <si>
    <t>• purchasing supplies to sanitize and clean the LEA’s facilities;</t>
  </si>
  <si>
    <t>• repairing and improving school facilities to reduce risk of virus transmission and exposure to environmental health hazards;</t>
  </si>
  <si>
    <t>• improving indoor air quality;</t>
  </si>
  <si>
    <t>• addressing the needs of children from low-income families, children with disabilities, English learners, racial and ethnic minorities, students experiencing homelessness, and foster care youth;</t>
  </si>
  <si>
    <t>• developing and implementing procedures and systems to improve the preparedness and response efforts of LEAs;</t>
  </si>
  <si>
    <t>• planning for or implementing activities during long-term closures, including providing meals to eligible students and providing technology for online learning;</t>
  </si>
  <si>
    <t>• purchasing educational technology (including hardware, software, connectivity, assistive technology, and adaptive equipment) for students that aids in regular and substantive educational interaction between students and their classroom instructors, including students from low-income families and children with disabilities;</t>
  </si>
  <si>
    <t>• providing mental health services and supports, including through the implementation of evidence-based full-service community schools and the hiring of counselors;</t>
  </si>
  <si>
    <t>• planning and implementing activities related to summer learning and supplemental after-school programs;</t>
  </si>
  <si>
    <t>• addressing learning loss; and</t>
  </si>
  <si>
    <t>• other activities that are necessary to maintain operation of and continuity of and services, including continuing to employ existing or hiring new LEA and school staff</t>
  </si>
  <si>
    <r>
      <rPr>
        <b/>
        <sz val="11"/>
        <color theme="1"/>
        <rFont val="Calibri"/>
        <family val="2"/>
      </rPr>
      <t xml:space="preserve">• </t>
    </r>
    <r>
      <rPr>
        <b/>
        <sz val="11"/>
        <color theme="1"/>
        <rFont val="Calibri"/>
        <family val="2"/>
        <scheme val="minor"/>
      </rPr>
      <t>coordinating preparedness and response efforts with State, local, Tribal, and territorial public health departments to prevent, prepare for, and respond to COVID-19;</t>
    </r>
  </si>
  <si>
    <t xml:space="preserve"> ALLOWABLE CATEGORIES/ACTIVITIES</t>
  </si>
  <si>
    <t xml:space="preserve"> 13  Stabilize workforce &amp; Avoid Layoffs</t>
  </si>
  <si>
    <t>9  Purchasing supplies for distance learning</t>
  </si>
  <si>
    <t>7 and 8 and 13 Records digitizing</t>
  </si>
  <si>
    <t>ARP ESSER III</t>
  </si>
  <si>
    <t>ALL WILSON LANGUAGE</t>
  </si>
  <si>
    <t>HEGERTY INTERVENION</t>
  </si>
  <si>
    <t>Evidice Based Interventions</t>
  </si>
  <si>
    <t>Just Words</t>
  </si>
  <si>
    <t>Social Workers</t>
  </si>
  <si>
    <t>HS Air Conditioner</t>
  </si>
  <si>
    <t>Assiant Psyc</t>
  </si>
  <si>
    <t>Tech equipment</t>
  </si>
  <si>
    <t>Food Service Salaries</t>
  </si>
  <si>
    <t>SC VIEW</t>
  </si>
  <si>
    <t>10/31/21 - 9/30/23</t>
  </si>
  <si>
    <t xml:space="preserve"> ARP IDEA  </t>
  </si>
  <si>
    <t>ARP IDEA ECSE</t>
  </si>
  <si>
    <t>Cleaning Supplies</t>
  </si>
  <si>
    <t>Evidnece Based Interventions (Wilson)</t>
  </si>
  <si>
    <t>Interventions (Wilson)</t>
  </si>
  <si>
    <t>3  purchasing supplies to sanitize and clean the LEA’s facilities</t>
  </si>
  <si>
    <t>5  improving indoor air quality</t>
  </si>
  <si>
    <t>HVAC AT MS/HS</t>
  </si>
  <si>
    <t>COVID GRANTS: AMOUNTS AND USES</t>
  </si>
  <si>
    <t>Grant</t>
  </si>
  <si>
    <t>Amount Received to date:</t>
  </si>
  <si>
    <t xml:space="preserve">Amount of Future money from  Grant expected to be recived: </t>
  </si>
  <si>
    <t>Purchases with the money from this grant fund to date:</t>
  </si>
  <si>
    <t>Future uses of the Funds:</t>
  </si>
  <si>
    <t xml:space="preserve">ESSER I FUNDS </t>
  </si>
  <si>
    <t>none left to be received</t>
  </si>
  <si>
    <t>PPE supplies such as masks, plexiglass for desk dividers,  sanitizing equipment and supplies to clean. 
Subscriptions to electornic resources to aid students and teachers in remote learning via the internet,   Chromebooks for students to take home for one-to-one remote learning</t>
  </si>
  <si>
    <t>N/A</t>
  </si>
  <si>
    <t xml:space="preserve">ESSER I (Elementary and Secondary Emergency Relief) is the original subgrant to address the the impact of COVID on schools. </t>
  </si>
  <si>
    <t>ESSER II FUNDS</t>
  </si>
  <si>
    <t>Salaries of three caffeteria employees to stabilized the district workforce and avoided layoffs.
Additional Chromebooks for students to take home for one-to-one remote learning.</t>
  </si>
  <si>
    <t xml:space="preserve">Electronic archival of records as an  implimentation of procedures and systems to  enhance prepardness and response efforts of the distirct. 
Salaries of employees that would have other wise been reduced to stabilized the district workforce and avoided layoffs.
Will upgrade existing HVAC system in old facilities to improve indoor air quality </t>
  </si>
  <si>
    <t>ESSER II (Elementary and Secondary Emergency Relief) is the second subgrant to address the the impact of COVID on schools. ROUND 2</t>
  </si>
  <si>
    <t>ESSER III ARP FUNDS</t>
  </si>
  <si>
    <t>Salaries of employees that would have other wise been reduced to stabilized the district workforce and avoided layoffs.</t>
  </si>
  <si>
    <t>ESSER III (Elementary and Secondary Emergency Relief, American relief Plan) is the third subgrant to address the the impact of COVID on schools. ROUND 3</t>
  </si>
  <si>
    <t xml:space="preserve">Will upgrade existing HVAC system in old facilities to improve indoor air quality.
Will replace two busses 
Hired through a purchased Serivce, 4 Social Workers to work with students social and emotional needs brought about by isolation, remote learning and quaruntining due to COVID </t>
  </si>
  <si>
    <t>ARP IDEA</t>
  </si>
  <si>
    <t>Address the impact of learning loss due to reduced in-person instructional time and maintian continuity of services specifically for students with disablities through tutoring and targeted indivualized instruction</t>
  </si>
  <si>
    <t>American Relief Plan Individual with Disabilities in Education Act funds</t>
  </si>
  <si>
    <t xml:space="preserve">BROADBAND CONNECTIVITY </t>
  </si>
  <si>
    <t xml:space="preserve"> iPads that had the ability to cellularly connect to the internet for students who were not able to utilize a hotspot.
Added Wireless access points to the exterior of buildings  to allow social distancing in an outdoor classroom setting providing additional options for in-person instruction. </t>
  </si>
  <si>
    <t>ODE grant to provide internet access to studentsthat lack connectivity and improve the WiFi infrastructure of the district.</t>
  </si>
  <si>
    <t>CARES CRF</t>
  </si>
  <si>
    <t xml:space="preserve">Cleaning, sanitation and disinfectant supplies, Unemployment, electronic online access licenses for instructional supplemental aids for remote learning.   </t>
  </si>
  <si>
    <t>the Coronavirous Aid, relief and Economic Secruty Act</t>
  </si>
  <si>
    <t xml:space="preserve">PASS THROUGH RICHLAND COUNTY COMMISSIONERS HOTSPOT </t>
  </si>
  <si>
    <t>Paid for cellular internet acess alllowing students who did not have internet access at their home though Verizon as a Cellular hotspot, which allowed for remote learning.</t>
  </si>
  <si>
    <t>Richland County received money from the original CARES funding and the County Commissioners generously passed it thought to the local school districts in Richalnd County in an initiative to provide cellular internet hotspots to students who didn't have access to reliable internet.</t>
  </si>
  <si>
    <t>PASS THROUGH BROWN TOWNSHIP</t>
  </si>
  <si>
    <t xml:space="preserve">Specialized sanitizing disinfectants and disinfencant dispursement equipment and additional cleaning supplies </t>
  </si>
  <si>
    <t>Brown Township received money from the original CARES funding and the Township Trustees generously passed it thought to the local school districts that are in Brown Township in an initiative to purchase PPE and additional santizing/cleaning supplies</t>
  </si>
  <si>
    <t xml:space="preserve">TOTAL FUNDS RECEIVED SO FAR VIA COVID INITIATIVES </t>
  </si>
  <si>
    <t xml:space="preserve">TOTAL FUNDS EXPECTED TO BE RECEIVED VIA COVID INITIATIVES </t>
  </si>
  <si>
    <t>BUTLER Princ Budget</t>
  </si>
  <si>
    <t>MS Princ Budget</t>
  </si>
  <si>
    <t>BELLVILLE Princ Budget</t>
  </si>
  <si>
    <t>HS Princ Budget</t>
  </si>
  <si>
    <t>SPEC ED TEACHER ON ASSIGNEMENT</t>
  </si>
  <si>
    <t>MS DISCIPLINE TEACHER ON ASSIGNMENT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</si>
</sst>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00"/>
    <numFmt numFmtId="165" formatCode="0_);\(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sz val="11"/>
      <color rgb="FF7030A0"/>
      <name val="Calibri"/>
      <family val="2"/>
      <scheme val="minor"/>
    </font>
    <font>
      <sz val="11"/>
      <color rgb="FF0070C0"/>
      <name val="Calibri"/>
      <family val="2"/>
      <scheme val="minor"/>
    </font>
    <font>
      <sz val="11"/>
      <name val="Calibri"/>
      <family val="2"/>
      <scheme val="minor"/>
    </font>
    <font>
      <b/>
      <sz val="11"/>
      <color rgb="FF0070C0"/>
      <name val="Calibri"/>
      <family val="2"/>
      <scheme val="minor"/>
    </font>
    <font>
      <sz val="11"/>
      <color rgb="FFC00000"/>
      <name val="Calibri"/>
      <family val="2"/>
      <scheme val="minor"/>
    </font>
    <font>
      <b/>
      <sz val="11"/>
      <color rgb="FF002060"/>
      <name val="Calibri"/>
      <family val="2"/>
      <scheme val="minor"/>
    </font>
    <font>
      <b/>
      <sz val="16"/>
      <color rgb="FF002060"/>
      <name val="Calibri"/>
      <family val="2"/>
      <scheme val="minor"/>
    </font>
    <font>
      <b/>
      <i/>
      <sz val="11"/>
      <color theme="4" tint="-0.249977111117893"/>
      <name val="Calibri"/>
      <family val="2"/>
      <scheme val="minor"/>
    </font>
    <font>
      <i/>
      <sz val="11"/>
      <color theme="1"/>
      <name val="Calibri"/>
      <family val="2"/>
      <scheme val="minor"/>
    </font>
    <font>
      <b/>
      <i/>
      <sz val="11"/>
      <color rgb="FF7030A0"/>
      <name val="Calibri"/>
      <family val="2"/>
      <scheme val="minor"/>
    </font>
    <font>
      <b/>
      <i/>
      <sz val="11"/>
      <color rgb="FFFF0000"/>
      <name val="Calibri"/>
      <family val="2"/>
      <scheme val="minor"/>
    </font>
    <font>
      <b/>
      <i/>
      <sz val="11"/>
      <color rgb="FF00B050"/>
      <name val="Calibri"/>
      <family val="2"/>
      <scheme val="minor"/>
    </font>
    <font>
      <i/>
      <sz val="11"/>
      <color rgb="FF00B050"/>
      <name val="Calibri"/>
      <family val="2"/>
      <scheme val="minor"/>
    </font>
    <font>
      <i/>
      <sz val="11"/>
      <color rgb="FFFF0000"/>
      <name val="Calibri"/>
      <family val="2"/>
      <scheme val="minor"/>
    </font>
    <font>
      <b/>
      <i/>
      <sz val="11"/>
      <color theme="4" tint="-0.499984740745262"/>
      <name val="Calibri"/>
      <family val="2"/>
      <scheme val="minor"/>
    </font>
    <font>
      <i/>
      <sz val="11"/>
      <color theme="4" tint="-0.499984740745262"/>
      <name val="Calibri"/>
      <family val="2"/>
      <scheme val="minor"/>
    </font>
    <font>
      <b/>
      <i/>
      <sz val="11"/>
      <name val="Calibri"/>
      <family val="2"/>
      <scheme val="minor"/>
    </font>
    <font>
      <b/>
      <i/>
      <sz val="11"/>
      <color rgb="FFC00000"/>
      <name val="Calibri"/>
      <family val="2"/>
      <scheme val="minor"/>
    </font>
    <font>
      <b/>
      <i/>
      <sz val="11"/>
      <color theme="5" tint="-0.249977111117893"/>
      <name val="Calibri"/>
      <family val="2"/>
      <scheme val="minor"/>
    </font>
    <font>
      <b/>
      <i/>
      <sz val="11"/>
      <color theme="3" tint="-0.249977111117893"/>
      <name val="Calibri"/>
      <family val="2"/>
      <scheme val="minor"/>
    </font>
    <font>
      <b/>
      <sz val="11"/>
      <name val="Calibri"/>
      <family val="2"/>
      <scheme val="minor"/>
    </font>
    <font>
      <b/>
      <sz val="14"/>
      <color theme="1"/>
      <name val="Calibri"/>
      <family val="2"/>
      <scheme val="minor"/>
    </font>
    <font>
      <b/>
      <sz val="11"/>
      <color theme="1"/>
      <name val="Calibri"/>
      <family val="2"/>
    </font>
    <font>
      <sz val="18"/>
      <color theme="1"/>
      <name val="Calibri"/>
      <family val="2"/>
      <scheme val="minor"/>
    </font>
    <font>
      <b/>
      <sz val="10"/>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5">
    <xf numFmtId="0" fontId="0" fillId="0" borderId="0" xfId="0"/>
    <xf numFmtId="0" fontId="3" fillId="0" borderId="0" xfId="0" applyFont="1" applyAlignment="1">
      <alignment horizontal="center" wrapText="1"/>
    </xf>
    <xf numFmtId="43" fontId="0" fillId="0" borderId="0" xfId="1" applyFont="1"/>
    <xf numFmtId="43" fontId="0" fillId="0" borderId="0" xfId="0" applyNumberFormat="1"/>
    <xf numFmtId="0" fontId="3" fillId="0" borderId="0" xfId="0" applyFont="1"/>
    <xf numFmtId="43" fontId="3" fillId="0" borderId="0" xfId="0" applyNumberFormat="1" applyFont="1" applyAlignment="1">
      <alignment horizontal="center" wrapText="1"/>
    </xf>
    <xf numFmtId="0" fontId="3" fillId="0" borderId="0" xfId="0" applyFont="1" applyAlignment="1">
      <alignment horizontal="right"/>
    </xf>
    <xf numFmtId="0" fontId="4" fillId="0" borderId="0" xfId="0" applyFont="1"/>
    <xf numFmtId="0" fontId="3" fillId="0" borderId="1" xfId="0" applyFont="1" applyBorder="1" applyAlignment="1">
      <alignment horizontal="right" wrapText="1"/>
    </xf>
    <xf numFmtId="43" fontId="3" fillId="0" borderId="1" xfId="1" applyFont="1" applyBorder="1" applyAlignment="1">
      <alignment wrapText="1"/>
    </xf>
    <xf numFmtId="43" fontId="3" fillId="0" borderId="1" xfId="1" applyFont="1" applyBorder="1" applyAlignment="1">
      <alignment horizontal="center" wrapText="1"/>
    </xf>
    <xf numFmtId="43" fontId="3" fillId="0" borderId="1" xfId="0" applyNumberFormat="1" applyFont="1" applyBorder="1" applyAlignment="1">
      <alignment horizontal="center" wrapText="1"/>
    </xf>
    <xf numFmtId="0" fontId="3" fillId="0" borderId="1" xfId="0" applyFont="1" applyBorder="1" applyAlignment="1">
      <alignment horizontal="right"/>
    </xf>
    <xf numFmtId="0" fontId="0" fillId="0" borderId="1" xfId="0" applyBorder="1"/>
    <xf numFmtId="43" fontId="0" fillId="0" borderId="1" xfId="1" applyFont="1" applyBorder="1"/>
    <xf numFmtId="43" fontId="0" fillId="0" borderId="1" xfId="0" applyNumberFormat="1" applyBorder="1"/>
    <xf numFmtId="0" fontId="0" fillId="0" borderId="1" xfId="0" applyBorder="1" applyAlignment="1">
      <alignment horizontal="left"/>
    </xf>
    <xf numFmtId="0" fontId="4" fillId="0" borderId="1" xfId="0" applyFont="1" applyBorder="1" applyAlignment="1">
      <alignment horizontal="left"/>
    </xf>
    <xf numFmtId="0" fontId="4" fillId="0" borderId="1" xfId="0" applyFont="1" applyBorder="1"/>
    <xf numFmtId="44" fontId="3" fillId="0" borderId="0" xfId="2" applyFont="1"/>
    <xf numFmtId="0" fontId="4" fillId="0" borderId="1" xfId="0" applyFont="1" applyBorder="1" applyAlignment="1">
      <alignment horizontal="right"/>
    </xf>
    <xf numFmtId="43" fontId="4" fillId="0" borderId="1" xfId="1" applyFont="1" applyBorder="1"/>
    <xf numFmtId="43" fontId="4" fillId="0" borderId="1" xfId="0" applyNumberFormat="1" applyFont="1" applyBorder="1"/>
    <xf numFmtId="44" fontId="3" fillId="0" borderId="0" xfId="0" applyNumberFormat="1" applyFont="1" applyAlignment="1">
      <alignment horizontal="center" wrapText="1"/>
    </xf>
    <xf numFmtId="0" fontId="3" fillId="2" borderId="1" xfId="0" applyFont="1" applyFill="1" applyBorder="1" applyAlignment="1">
      <alignment horizontal="center" wrapText="1"/>
    </xf>
    <xf numFmtId="0" fontId="5" fillId="2" borderId="1" xfId="0" applyFont="1" applyFill="1" applyBorder="1" applyAlignment="1">
      <alignment horizontal="center"/>
    </xf>
    <xf numFmtId="0" fontId="3" fillId="3" borderId="1" xfId="0" applyFont="1" applyFill="1" applyBorder="1" applyAlignment="1">
      <alignment horizontal="right" wrapText="1"/>
    </xf>
    <xf numFmtId="43" fontId="3" fillId="3" borderId="1" xfId="1" applyFont="1" applyFill="1" applyBorder="1" applyAlignment="1">
      <alignment wrapText="1"/>
    </xf>
    <xf numFmtId="43" fontId="3" fillId="3" borderId="1" xfId="1" applyFont="1" applyFill="1" applyBorder="1" applyAlignment="1">
      <alignment horizontal="center" wrapText="1"/>
    </xf>
    <xf numFmtId="43" fontId="3" fillId="3" borderId="1" xfId="0" applyNumberFormat="1" applyFont="1" applyFill="1" applyBorder="1" applyAlignment="1">
      <alignment horizontal="center" wrapText="1"/>
    </xf>
    <xf numFmtId="0" fontId="3" fillId="4" borderId="1" xfId="0" applyFont="1" applyFill="1" applyBorder="1" applyAlignment="1">
      <alignment horizontal="center" wrapText="1"/>
    </xf>
    <xf numFmtId="0" fontId="5" fillId="4" borderId="1" xfId="0" applyFont="1" applyFill="1" applyBorder="1" applyAlignment="1">
      <alignment horizontal="center"/>
    </xf>
    <xf numFmtId="0" fontId="6" fillId="0" borderId="1" xfId="0" applyFont="1" applyBorder="1"/>
    <xf numFmtId="43" fontId="6" fillId="0" borderId="1" xfId="1" applyFont="1" applyBorder="1"/>
    <xf numFmtId="0" fontId="7" fillId="0" borderId="1" xfId="0" applyFont="1" applyBorder="1"/>
    <xf numFmtId="43" fontId="7" fillId="0" borderId="1" xfId="1" applyFont="1" applyBorder="1"/>
    <xf numFmtId="0" fontId="3" fillId="5" borderId="1" xfId="0" applyFont="1" applyFill="1" applyBorder="1" applyAlignment="1">
      <alignment horizontal="right" wrapText="1"/>
    </xf>
    <xf numFmtId="43" fontId="3" fillId="5" borderId="1" xfId="1" applyFont="1" applyFill="1" applyBorder="1" applyAlignment="1">
      <alignment wrapText="1"/>
    </xf>
    <xf numFmtId="43" fontId="3" fillId="5" borderId="1" xfId="1" applyFont="1" applyFill="1" applyBorder="1" applyAlignment="1">
      <alignment horizontal="center" wrapText="1"/>
    </xf>
    <xf numFmtId="43" fontId="3" fillId="5" borderId="1" xfId="0" applyNumberFormat="1" applyFont="1" applyFill="1" applyBorder="1" applyAlignment="1">
      <alignment horizontal="center" wrapText="1"/>
    </xf>
    <xf numFmtId="0" fontId="8" fillId="0" borderId="1" xfId="0" applyFont="1" applyBorder="1" applyAlignment="1">
      <alignment horizontal="left"/>
    </xf>
    <xf numFmtId="43" fontId="8" fillId="0" borderId="1" xfId="1" applyFont="1" applyBorder="1"/>
    <xf numFmtId="0" fontId="8" fillId="0" borderId="1" xfId="0" applyFont="1" applyFill="1" applyBorder="1" applyAlignment="1">
      <alignment horizontal="left"/>
    </xf>
    <xf numFmtId="0" fontId="9" fillId="0" borderId="1" xfId="0" applyFont="1" applyBorder="1" applyAlignment="1">
      <alignment horizontal="right"/>
    </xf>
    <xf numFmtId="0" fontId="7" fillId="0" borderId="0" xfId="0" applyFont="1"/>
    <xf numFmtId="43" fontId="10" fillId="0" borderId="1" xfId="1" applyFont="1" applyBorder="1"/>
    <xf numFmtId="0" fontId="11" fillId="6" borderId="1" xfId="0" applyFont="1" applyFill="1" applyBorder="1" applyAlignment="1">
      <alignment horizontal="center" wrapText="1"/>
    </xf>
    <xf numFmtId="0" fontId="3" fillId="7" borderId="1" xfId="0" applyFont="1" applyFill="1" applyBorder="1" applyAlignment="1">
      <alignment horizontal="right" wrapText="1"/>
    </xf>
    <xf numFmtId="43" fontId="3" fillId="7" borderId="1" xfId="1" applyFont="1" applyFill="1" applyBorder="1" applyAlignment="1">
      <alignment wrapText="1"/>
    </xf>
    <xf numFmtId="43" fontId="3" fillId="7" borderId="1" xfId="1" applyFont="1" applyFill="1" applyBorder="1" applyAlignment="1">
      <alignment horizontal="center" wrapText="1"/>
    </xf>
    <xf numFmtId="43" fontId="3" fillId="7" borderId="1" xfId="0" applyNumberFormat="1" applyFont="1" applyFill="1" applyBorder="1" applyAlignment="1">
      <alignment horizontal="center" wrapText="1"/>
    </xf>
    <xf numFmtId="0" fontId="12" fillId="6" borderId="1" xfId="0" applyFont="1" applyFill="1" applyBorder="1" applyAlignment="1">
      <alignment horizontal="center"/>
    </xf>
    <xf numFmtId="0" fontId="10" fillId="0" borderId="1" xfId="0" applyFont="1" applyBorder="1" applyAlignment="1">
      <alignment horizontal="left"/>
    </xf>
    <xf numFmtId="0" fontId="3" fillId="6" borderId="1" xfId="0" applyFont="1" applyFill="1" applyBorder="1" applyAlignment="1">
      <alignment horizontal="center" wrapText="1"/>
    </xf>
    <xf numFmtId="0" fontId="0" fillId="0" borderId="1" xfId="0" applyBorder="1" applyAlignment="1">
      <alignment horizontal="center"/>
    </xf>
    <xf numFmtId="0" fontId="13" fillId="0" borderId="0" xfId="0" quotePrefix="1" applyFont="1"/>
    <xf numFmtId="0" fontId="14" fillId="0" borderId="0" xfId="0" applyFont="1"/>
    <xf numFmtId="0" fontId="4" fillId="0" borderId="0" xfId="0" applyFont="1" applyAlignment="1">
      <alignment horizontal="right"/>
    </xf>
    <xf numFmtId="0" fontId="13" fillId="0" borderId="0" xfId="0" applyFont="1"/>
    <xf numFmtId="0" fontId="15" fillId="0" borderId="0" xfId="0" quotePrefix="1" applyFont="1"/>
    <xf numFmtId="43" fontId="14" fillId="0" borderId="0" xfId="0" applyNumberFormat="1" applyFont="1"/>
    <xf numFmtId="0" fontId="4" fillId="0" borderId="0" xfId="0" quotePrefix="1" applyFont="1" applyAlignment="1">
      <alignment horizontal="left"/>
    </xf>
    <xf numFmtId="0" fontId="16" fillId="0" borderId="0" xfId="0" quotePrefix="1" applyFont="1" applyAlignment="1">
      <alignment horizontal="left"/>
    </xf>
    <xf numFmtId="0" fontId="17" fillId="0" borderId="0" xfId="0" quotePrefix="1" applyFont="1" applyAlignment="1">
      <alignment horizontal="left"/>
    </xf>
    <xf numFmtId="0" fontId="18" fillId="0" borderId="0" xfId="0" applyFont="1"/>
    <xf numFmtId="43" fontId="18" fillId="0" borderId="0" xfId="1" applyFont="1"/>
    <xf numFmtId="43" fontId="18" fillId="0" borderId="0" xfId="0" applyNumberFormat="1" applyFont="1"/>
    <xf numFmtId="0" fontId="19" fillId="0" borderId="0" xfId="0" applyFont="1"/>
    <xf numFmtId="0" fontId="16" fillId="0" borderId="0" xfId="0" applyFont="1" applyAlignment="1">
      <alignment horizontal="left"/>
    </xf>
    <xf numFmtId="0" fontId="16" fillId="0" borderId="0" xfId="0" applyFont="1"/>
    <xf numFmtId="0" fontId="20" fillId="0" borderId="0" xfId="0" quotePrefix="1" applyFont="1" applyAlignment="1">
      <alignment horizontal="left"/>
    </xf>
    <xf numFmtId="0" fontId="21" fillId="0" borderId="0" xfId="0" applyFont="1"/>
    <xf numFmtId="0" fontId="20" fillId="0" borderId="0" xfId="0" applyFont="1" applyAlignment="1">
      <alignment horizontal="left"/>
    </xf>
    <xf numFmtId="0" fontId="20" fillId="0" borderId="0" xfId="0" applyFont="1"/>
    <xf numFmtId="0" fontId="13" fillId="0" borderId="0" xfId="0" applyFont="1" applyAlignment="1">
      <alignment horizontal="left"/>
    </xf>
    <xf numFmtId="0" fontId="22" fillId="0" borderId="0" xfId="0" applyFont="1"/>
    <xf numFmtId="0" fontId="22" fillId="0" borderId="0" xfId="0" quotePrefix="1" applyFont="1"/>
    <xf numFmtId="0" fontId="23" fillId="0" borderId="0" xfId="0" quotePrefix="1" applyFont="1" applyAlignment="1">
      <alignment horizontal="left"/>
    </xf>
    <xf numFmtId="0" fontId="16" fillId="0" borderId="0" xfId="0" quotePrefix="1" applyFont="1"/>
    <xf numFmtId="0" fontId="23" fillId="0" borderId="0" xfId="0" applyFont="1"/>
    <xf numFmtId="0" fontId="15" fillId="0" borderId="0" xfId="0" applyFont="1"/>
    <xf numFmtId="0" fontId="24" fillId="0" borderId="0" xfId="0" quotePrefix="1" applyFont="1" applyAlignment="1">
      <alignment horizontal="left"/>
    </xf>
    <xf numFmtId="0" fontId="17" fillId="0" borderId="0" xfId="0" applyFont="1"/>
    <xf numFmtId="0" fontId="25" fillId="0" borderId="0" xfId="0" applyFont="1"/>
    <xf numFmtId="0" fontId="25" fillId="0" borderId="0" xfId="0" quotePrefix="1" applyFont="1" applyAlignment="1">
      <alignment horizontal="left"/>
    </xf>
    <xf numFmtId="0" fontId="8" fillId="0" borderId="1" xfId="0" applyFont="1" applyBorder="1"/>
    <xf numFmtId="0" fontId="4" fillId="0" borderId="0" xfId="0" applyFont="1" applyAlignment="1">
      <alignment horizontal="center"/>
    </xf>
    <xf numFmtId="0" fontId="24" fillId="0" borderId="0" xfId="0" applyFont="1"/>
    <xf numFmtId="0" fontId="3" fillId="8" borderId="1" xfId="0" applyFont="1" applyFill="1" applyBorder="1" applyAlignment="1">
      <alignment horizontal="center" wrapText="1"/>
    </xf>
    <xf numFmtId="7" fontId="3" fillId="0" borderId="0" xfId="2" applyNumberFormat="1" applyFont="1" applyAlignment="1">
      <alignment horizontal="center"/>
    </xf>
    <xf numFmtId="7" fontId="0" fillId="0" borderId="1" xfId="1" applyNumberFormat="1" applyFont="1" applyBorder="1"/>
    <xf numFmtId="7" fontId="3" fillId="0" borderId="0" xfId="0" applyNumberFormat="1" applyFont="1"/>
    <xf numFmtId="0" fontId="3" fillId="8" borderId="2" xfId="0" applyFont="1" applyFill="1" applyBorder="1" applyAlignment="1">
      <alignment horizontal="center" wrapText="1"/>
    </xf>
    <xf numFmtId="43" fontId="3" fillId="8" borderId="1" xfId="0" applyNumberFormat="1" applyFont="1" applyFill="1" applyBorder="1" applyAlignment="1">
      <alignment horizontal="center" wrapText="1"/>
    </xf>
    <xf numFmtId="44" fontId="3" fillId="9" borderId="1" xfId="0" applyNumberFormat="1" applyFont="1" applyFill="1" applyBorder="1" applyAlignment="1">
      <alignment horizontal="center" wrapText="1"/>
    </xf>
    <xf numFmtId="0" fontId="8" fillId="8" borderId="1" xfId="0" applyFont="1" applyFill="1" applyBorder="1" applyAlignment="1">
      <alignment horizontal="left"/>
    </xf>
    <xf numFmtId="0" fontId="0" fillId="9" borderId="1" xfId="0" applyFill="1" applyBorder="1"/>
    <xf numFmtId="0" fontId="3" fillId="9" borderId="1" xfId="0" applyFont="1" applyFill="1" applyBorder="1" applyAlignment="1">
      <alignment horizontal="center" wrapText="1"/>
    </xf>
    <xf numFmtId="4" fontId="8" fillId="9" borderId="1" xfId="0" quotePrefix="1" applyNumberFormat="1" applyFont="1" applyFill="1" applyBorder="1" applyAlignment="1">
      <alignment horizontal="right"/>
    </xf>
    <xf numFmtId="4" fontId="8" fillId="9" borderId="1" xfId="0" applyNumberFormat="1" applyFont="1" applyFill="1" applyBorder="1" applyAlignment="1">
      <alignment horizontal="right"/>
    </xf>
    <xf numFmtId="164" fontId="8" fillId="9" borderId="1" xfId="0" applyNumberFormat="1" applyFont="1" applyFill="1" applyBorder="1" applyAlignment="1">
      <alignment horizontal="right"/>
    </xf>
    <xf numFmtId="0" fontId="2" fillId="0" borderId="0" xfId="0" quotePrefix="1" applyFont="1" applyAlignment="1">
      <alignment horizontal="left"/>
    </xf>
    <xf numFmtId="0" fontId="3" fillId="9" borderId="1" xfId="0" applyFont="1" applyFill="1" applyBorder="1" applyAlignment="1">
      <alignment horizontal="center"/>
    </xf>
    <xf numFmtId="0" fontId="26" fillId="8" borderId="1" xfId="0" applyFont="1" applyFill="1" applyBorder="1" applyAlignment="1">
      <alignment horizontal="center"/>
    </xf>
    <xf numFmtId="0" fontId="8" fillId="0" borderId="1" xfId="0" applyFont="1" applyFill="1" applyBorder="1"/>
    <xf numFmtId="43" fontId="8" fillId="0" borderId="1" xfId="0" applyNumberFormat="1" applyFont="1" applyBorder="1"/>
    <xf numFmtId="43" fontId="8" fillId="0" borderId="1" xfId="1" applyFont="1" applyFill="1" applyBorder="1"/>
    <xf numFmtId="43" fontId="26" fillId="0" borderId="1" xfId="1" applyFont="1" applyBorder="1" applyAlignment="1">
      <alignment horizontal="center" wrapText="1"/>
    </xf>
    <xf numFmtId="43" fontId="8" fillId="0" borderId="1" xfId="1" applyFont="1" applyBorder="1" applyAlignment="1">
      <alignment horizontal="center" wrapText="1"/>
    </xf>
    <xf numFmtId="43" fontId="26" fillId="0" borderId="1" xfId="0" applyNumberFormat="1" applyFont="1" applyBorder="1" applyAlignment="1">
      <alignment horizontal="center" wrapText="1"/>
    </xf>
    <xf numFmtId="0" fontId="22" fillId="0" borderId="1" xfId="0" applyFont="1" applyBorder="1" applyAlignment="1">
      <alignment horizontal="left"/>
    </xf>
    <xf numFmtId="165" fontId="8" fillId="0" borderId="1" xfId="1" applyNumberFormat="1" applyFont="1" applyBorder="1" applyAlignment="1">
      <alignment horizontal="left" wrapText="1"/>
    </xf>
    <xf numFmtId="0" fontId="3" fillId="0" borderId="0" xfId="0" applyFont="1" applyAlignment="1">
      <alignment horizontal="left" wrapText="1"/>
    </xf>
    <xf numFmtId="0" fontId="27" fillId="0" borderId="0" xfId="0" applyFont="1" applyAlignment="1">
      <alignment horizontal="center" wrapText="1"/>
    </xf>
    <xf numFmtId="0" fontId="3" fillId="0" borderId="0" xfId="0" applyFont="1" applyAlignment="1">
      <alignment horizontal="left"/>
    </xf>
    <xf numFmtId="0" fontId="26" fillId="0" borderId="0" xfId="0" applyFont="1" applyAlignment="1">
      <alignment horizontal="left"/>
    </xf>
    <xf numFmtId="0" fontId="3" fillId="0" borderId="0" xfId="0" applyFont="1" applyAlignment="1">
      <alignment horizontal="right" wrapText="1"/>
    </xf>
    <xf numFmtId="0" fontId="0" fillId="0" borderId="1" xfId="0" applyFont="1" applyBorder="1" applyAlignment="1">
      <alignment horizontal="right"/>
    </xf>
    <xf numFmtId="0" fontId="3" fillId="0" borderId="0" xfId="0" applyFont="1" applyBorder="1" applyAlignment="1">
      <alignment horizontal="right"/>
    </xf>
    <xf numFmtId="0" fontId="7" fillId="0" borderId="0" xfId="0" applyFont="1" applyBorder="1"/>
    <xf numFmtId="43" fontId="7" fillId="0" borderId="0" xfId="1" applyFont="1" applyBorder="1"/>
    <xf numFmtId="43" fontId="0" fillId="0" borderId="0" xfId="1" applyFont="1" applyBorder="1"/>
    <xf numFmtId="0" fontId="0" fillId="0" borderId="0" xfId="0" applyBorder="1"/>
    <xf numFmtId="0" fontId="3" fillId="0" borderId="5" xfId="0" applyFont="1" applyBorder="1" applyAlignment="1">
      <alignment horizontal="right"/>
    </xf>
    <xf numFmtId="43" fontId="0" fillId="0" borderId="5" xfId="1" applyFont="1" applyBorder="1"/>
    <xf numFmtId="0" fontId="0" fillId="0" borderId="5" xfId="0" applyBorder="1"/>
    <xf numFmtId="0" fontId="30" fillId="0" borderId="0" xfId="0" applyFont="1" applyAlignment="1">
      <alignment horizontal="center" vertical="center"/>
    </xf>
    <xf numFmtId="0" fontId="30" fillId="0" borderId="0" xfId="0" applyFont="1" applyAlignment="1">
      <alignment horizontal="center" vertical="center" wrapText="1"/>
    </xf>
    <xf numFmtId="0" fontId="31" fillId="0" borderId="0" xfId="0" applyFont="1"/>
    <xf numFmtId="0" fontId="0" fillId="0" borderId="0" xfId="0" applyAlignment="1">
      <alignment horizontal="left" vertical="top" wrapText="1"/>
    </xf>
    <xf numFmtId="0" fontId="0" fillId="0" borderId="0" xfId="0" applyAlignment="1">
      <alignment horizontal="left" vertical="top"/>
    </xf>
    <xf numFmtId="44" fontId="0" fillId="0" borderId="0" xfId="2" applyFont="1"/>
    <xf numFmtId="0" fontId="0" fillId="0" borderId="0" xfId="0" applyAlignment="1">
      <alignment wrapText="1"/>
    </xf>
    <xf numFmtId="44" fontId="0" fillId="0" borderId="0" xfId="0" applyNumberFormat="1"/>
    <xf numFmtId="0" fontId="5" fillId="0" borderId="0" xfId="0" applyFont="1" applyAlignment="1">
      <alignment horizontal="center" vertical="center"/>
    </xf>
    <xf numFmtId="0" fontId="0" fillId="0" borderId="0" xfId="0"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43" fontId="0" fillId="0" borderId="2" xfId="1" applyFont="1" applyBorder="1" applyAlignment="1">
      <alignment horizontal="center" vertical="center"/>
    </xf>
    <xf numFmtId="43" fontId="0" fillId="0" borderId="3" xfId="1" applyFont="1" applyBorder="1" applyAlignment="1">
      <alignment horizontal="center" vertic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43" fontId="8" fillId="0" borderId="2" xfId="1" applyFont="1" applyBorder="1" applyAlignment="1">
      <alignment horizontal="center" vertical="center"/>
    </xf>
    <xf numFmtId="43" fontId="8" fillId="0" borderId="4" xfId="1" applyFont="1" applyBorder="1" applyAlignment="1">
      <alignment horizontal="center" vertical="center"/>
    </xf>
    <xf numFmtId="43" fontId="8" fillId="0" borderId="3" xfId="1" applyFont="1" applyBorder="1" applyAlignment="1">
      <alignment horizontal="center" vertical="center"/>
    </xf>
    <xf numFmtId="0" fontId="0" fillId="0" borderId="0" xfId="0" applyAlignment="1">
      <alignment horizontal="center"/>
    </xf>
    <xf numFmtId="44" fontId="0" fillId="0" borderId="0" xfId="2" applyFont="1" applyAlignment="1">
      <alignment horizontal="center" vertical="center"/>
    </xf>
    <xf numFmtId="44" fontId="0" fillId="0" borderId="6" xfId="2"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0" fontId="0" fillId="0" borderId="0" xfId="0" applyAlignment="1">
      <alignment horizontal="right"/>
    </xf>
    <xf numFmtId="44" fontId="0" fillId="0" borderId="0" xfId="0" applyNumberFormat="1" applyAlignment="1">
      <alignment horizontal="center" vertical="center"/>
    </xf>
    <xf numFmtId="0" fontId="29" fillId="5" borderId="0" xfId="0" applyFont="1" applyFill="1" applyAlignment="1">
      <alignment horizontal="center" vertical="center"/>
    </xf>
    <xf numFmtId="0" fontId="0" fillId="0" borderId="0" xfId="0" applyAlignment="1">
      <alignment horizontal="left" vertical="top"/>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3300"/>
      <color rgb="FF790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3"/>
  <sheetViews>
    <sheetView tabSelected="1" workbookViewId="0">
      <selection activeCell="B22" sqref="B22"/>
    </sheetView>
  </sheetViews>
  <sheetFormatPr defaultRowHeight="14.4" x14ac:dyDescent="0.3"/>
  <cols>
    <col min="1" max="1" width="9.109375" style="6"/>
    <col min="2" max="2" width="29.88671875" customWidth="1"/>
    <col min="3" max="6" width="13.44140625" customWidth="1"/>
    <col min="7" max="7" width="10.33203125" customWidth="1"/>
    <col min="8" max="8" width="11.5546875" bestFit="1" customWidth="1"/>
    <col min="9" max="9" width="11" bestFit="1" customWidth="1"/>
  </cols>
  <sheetData>
    <row r="1" spans="1:9" ht="21" x14ac:dyDescent="0.3">
      <c r="A1" s="134" t="s">
        <v>8</v>
      </c>
      <c r="B1" s="134"/>
      <c r="C1" s="134"/>
      <c r="D1" s="134"/>
      <c r="E1" s="134"/>
      <c r="F1" s="134"/>
      <c r="G1" s="134"/>
      <c r="H1" s="134"/>
    </row>
    <row r="2" spans="1:9" x14ac:dyDescent="0.3">
      <c r="C2" s="135">
        <v>507.99209999999999</v>
      </c>
      <c r="D2" s="135"/>
      <c r="E2" s="135"/>
      <c r="G2" t="s">
        <v>57</v>
      </c>
      <c r="H2">
        <v>84.424999999999997</v>
      </c>
    </row>
    <row r="3" spans="1:9" s="4" customFormat="1" x14ac:dyDescent="0.3">
      <c r="A3" s="6"/>
      <c r="B3" s="19">
        <v>210678.31</v>
      </c>
      <c r="C3" s="4" t="s">
        <v>5</v>
      </c>
    </row>
    <row r="4" spans="1:9" s="1" customFormat="1" ht="30" x14ac:dyDescent="0.4">
      <c r="A4" s="24" t="s">
        <v>13</v>
      </c>
      <c r="B4" s="25" t="s">
        <v>58</v>
      </c>
      <c r="C4" s="24" t="s">
        <v>0</v>
      </c>
      <c r="D4" s="24" t="s">
        <v>2</v>
      </c>
      <c r="E4" s="24" t="s">
        <v>3</v>
      </c>
      <c r="F4" s="24" t="s">
        <v>9</v>
      </c>
      <c r="G4" s="24" t="s">
        <v>4</v>
      </c>
      <c r="H4" s="24" t="s">
        <v>14</v>
      </c>
    </row>
    <row r="5" spans="1:9" s="1" customFormat="1" x14ac:dyDescent="0.3">
      <c r="A5" s="26"/>
      <c r="B5" s="27" t="s">
        <v>10</v>
      </c>
      <c r="C5" s="28"/>
      <c r="D5" s="28"/>
      <c r="E5" s="28">
        <v>38494.31</v>
      </c>
      <c r="F5" s="28">
        <v>172184</v>
      </c>
      <c r="G5" s="28">
        <v>0</v>
      </c>
      <c r="H5" s="29">
        <f>SUM(C5:G5)</f>
        <v>210678.31</v>
      </c>
      <c r="I5" s="5">
        <f>+B3-H5</f>
        <v>0</v>
      </c>
    </row>
    <row r="6" spans="1:9" s="1" customFormat="1" x14ac:dyDescent="0.3">
      <c r="A6" s="8"/>
      <c r="B6" s="9"/>
      <c r="C6" s="10"/>
      <c r="D6" s="10"/>
      <c r="E6" s="10"/>
      <c r="F6" s="10"/>
      <c r="G6" s="10"/>
      <c r="H6" s="11"/>
    </row>
    <row r="7" spans="1:9" ht="14.4" customHeight="1" x14ac:dyDescent="0.3">
      <c r="A7" s="12" t="s">
        <v>7</v>
      </c>
      <c r="B7" s="136" t="s">
        <v>59</v>
      </c>
      <c r="C7" s="35"/>
      <c r="D7" s="13"/>
      <c r="E7" s="138">
        <v>29578.21</v>
      </c>
      <c r="F7" s="14"/>
      <c r="G7" s="14"/>
      <c r="H7" s="13"/>
    </row>
    <row r="8" spans="1:9" x14ac:dyDescent="0.3">
      <c r="A8" s="12"/>
      <c r="B8" s="137"/>
      <c r="C8" s="35"/>
      <c r="D8" s="14"/>
      <c r="E8" s="139"/>
      <c r="F8" s="14"/>
      <c r="G8" s="14"/>
      <c r="H8" s="13"/>
    </row>
    <row r="9" spans="1:9" ht="14.4" customHeight="1" x14ac:dyDescent="0.3">
      <c r="A9" s="12"/>
      <c r="B9" s="140" t="s">
        <v>60</v>
      </c>
      <c r="C9" s="33"/>
      <c r="D9" s="33"/>
      <c r="E9" s="33"/>
      <c r="F9" s="143">
        <v>181100.1</v>
      </c>
      <c r="G9" s="14"/>
      <c r="H9" s="14"/>
    </row>
    <row r="10" spans="1:9" x14ac:dyDescent="0.3">
      <c r="A10" s="12"/>
      <c r="B10" s="141"/>
      <c r="C10" s="33"/>
      <c r="D10" s="33"/>
      <c r="E10" s="33"/>
      <c r="F10" s="144"/>
      <c r="G10" s="14"/>
      <c r="H10" s="14"/>
    </row>
    <row r="11" spans="1:9" x14ac:dyDescent="0.3">
      <c r="A11" s="12"/>
      <c r="B11" s="141"/>
      <c r="C11" s="33"/>
      <c r="D11" s="33"/>
      <c r="E11" s="33"/>
      <c r="F11" s="144"/>
      <c r="G11" s="14"/>
      <c r="H11" s="14"/>
    </row>
    <row r="12" spans="1:9" x14ac:dyDescent="0.3">
      <c r="A12" s="12"/>
      <c r="B12" s="142"/>
      <c r="C12" s="33"/>
      <c r="D12" s="33"/>
      <c r="E12" s="33"/>
      <c r="F12" s="145"/>
      <c r="G12" s="14"/>
      <c r="H12" s="14"/>
    </row>
    <row r="13" spans="1:9" x14ac:dyDescent="0.3">
      <c r="A13" s="12"/>
      <c r="B13" s="32"/>
      <c r="C13" s="33"/>
      <c r="D13" s="33"/>
      <c r="E13" s="33"/>
      <c r="F13" s="33"/>
      <c r="G13" s="14"/>
      <c r="H13" s="14"/>
    </row>
    <row r="14" spans="1:9" x14ac:dyDescent="0.3">
      <c r="A14" s="12"/>
      <c r="B14" s="34"/>
      <c r="C14" s="35"/>
      <c r="D14" s="35"/>
      <c r="E14" s="14"/>
      <c r="F14" s="14"/>
      <c r="G14" s="14"/>
      <c r="H14" s="14"/>
      <c r="I14" t="s">
        <v>1</v>
      </c>
    </row>
    <row r="15" spans="1:9" x14ac:dyDescent="0.3">
      <c r="A15" s="12"/>
      <c r="B15" s="34"/>
      <c r="C15" s="35"/>
      <c r="D15" s="35"/>
      <c r="E15" s="14"/>
      <c r="F15" s="14"/>
      <c r="G15" s="14"/>
      <c r="H15" s="14" t="s">
        <v>1</v>
      </c>
    </row>
    <row r="16" spans="1:9" x14ac:dyDescent="0.3">
      <c r="A16" s="12"/>
      <c r="B16" s="16"/>
      <c r="C16" s="14"/>
      <c r="D16" s="14"/>
      <c r="E16" s="14"/>
      <c r="F16" s="14"/>
      <c r="G16" s="14"/>
      <c r="H16" s="13"/>
    </row>
    <row r="17" spans="1:8" x14ac:dyDescent="0.3">
      <c r="A17" s="12"/>
      <c r="B17" s="16"/>
      <c r="C17" s="14"/>
      <c r="D17" s="14"/>
      <c r="E17" s="14"/>
      <c r="F17" s="14"/>
      <c r="G17" s="14"/>
      <c r="H17" s="13"/>
    </row>
    <row r="18" spans="1:8" x14ac:dyDescent="0.3">
      <c r="A18" s="12"/>
      <c r="B18" s="16"/>
      <c r="C18" s="14"/>
      <c r="D18" s="14"/>
      <c r="E18" s="14"/>
      <c r="F18" s="14"/>
      <c r="G18" s="14"/>
      <c r="H18" s="13"/>
    </row>
    <row r="19" spans="1:8" x14ac:dyDescent="0.3">
      <c r="A19" s="12"/>
      <c r="B19" s="32"/>
      <c r="C19" s="33"/>
      <c r="D19" s="33"/>
      <c r="E19" s="33"/>
      <c r="F19" s="33"/>
      <c r="G19" s="14"/>
      <c r="H19" s="15" t="s">
        <v>1</v>
      </c>
    </row>
    <row r="20" spans="1:8" s="44" customFormat="1" x14ac:dyDescent="0.3">
      <c r="A20" s="43"/>
      <c r="B20" s="52"/>
      <c r="C20" s="45"/>
      <c r="D20" s="45"/>
      <c r="E20" s="45"/>
      <c r="F20" s="35"/>
      <c r="G20" s="35"/>
      <c r="H20" s="34"/>
    </row>
    <row r="21" spans="1:8" s="7" customFormat="1" x14ac:dyDescent="0.3">
      <c r="A21" s="20"/>
      <c r="B21" s="32"/>
      <c r="C21" s="33"/>
      <c r="D21" s="33"/>
      <c r="E21" s="33"/>
      <c r="F21" s="33"/>
      <c r="G21" s="21"/>
      <c r="H21" s="22">
        <f>SUM(C21:G21)</f>
        <v>0</v>
      </c>
    </row>
    <row r="22" spans="1:8" x14ac:dyDescent="0.3">
      <c r="A22" s="12"/>
      <c r="B22" s="16"/>
      <c r="C22" s="14"/>
      <c r="D22" s="14"/>
      <c r="E22" s="14"/>
      <c r="F22" s="14"/>
      <c r="G22" s="14"/>
      <c r="H22" s="13"/>
    </row>
    <row r="23" spans="1:8" x14ac:dyDescent="0.3">
      <c r="A23" s="12"/>
      <c r="B23" s="17" t="s">
        <v>11</v>
      </c>
      <c r="C23" s="21">
        <f>SUM(C7:C22)</f>
        <v>0</v>
      </c>
      <c r="D23" s="21">
        <f>SUM(D7:D22)</f>
        <v>0</v>
      </c>
      <c r="E23" s="21">
        <f>SUM(E7:E22)</f>
        <v>29578.21</v>
      </c>
      <c r="F23" s="21">
        <f>SUM(F7:F22)</f>
        <v>181100.1</v>
      </c>
      <c r="G23" s="14">
        <f>+G5-G21</f>
        <v>0</v>
      </c>
      <c r="H23" s="14">
        <f>+H5-H21</f>
        <v>210678.31</v>
      </c>
    </row>
    <row r="24" spans="1:8" x14ac:dyDescent="0.3">
      <c r="B24" s="13"/>
      <c r="C24" s="14"/>
      <c r="D24" s="14"/>
      <c r="E24" s="14"/>
      <c r="F24" s="14"/>
      <c r="G24" s="14"/>
      <c r="H24" s="15"/>
    </row>
    <row r="25" spans="1:8" x14ac:dyDescent="0.3">
      <c r="B25" s="18" t="s">
        <v>12</v>
      </c>
      <c r="C25" s="14">
        <f>+C5-C23</f>
        <v>0</v>
      </c>
      <c r="D25" s="14">
        <f>+D5-D23</f>
        <v>0</v>
      </c>
      <c r="E25" s="14">
        <f t="shared" ref="E25:F25" si="0">+E5-E23</f>
        <v>8916.0999999999985</v>
      </c>
      <c r="F25" s="14">
        <f t="shared" si="0"/>
        <v>-8916.1000000000058</v>
      </c>
      <c r="G25" s="14"/>
      <c r="H25" s="15"/>
    </row>
    <row r="26" spans="1:8" x14ac:dyDescent="0.3">
      <c r="B26" s="7" t="s">
        <v>19</v>
      </c>
      <c r="C26" s="2"/>
      <c r="D26" s="2"/>
      <c r="E26" s="2"/>
      <c r="F26" s="2"/>
    </row>
    <row r="27" spans="1:8" x14ac:dyDescent="0.3">
      <c r="C27" s="2"/>
      <c r="D27" s="2"/>
      <c r="E27" s="2"/>
      <c r="F27" s="2"/>
    </row>
    <row r="28" spans="1:8" s="56" customFormat="1" x14ac:dyDescent="0.3">
      <c r="A28" s="55"/>
    </row>
    <row r="29" spans="1:8" s="56" customFormat="1" x14ac:dyDescent="0.3">
      <c r="A29" s="57"/>
      <c r="B29" s="58"/>
    </row>
    <row r="30" spans="1:8" s="56" customFormat="1" x14ac:dyDescent="0.3">
      <c r="A30" s="59"/>
      <c r="C30" s="60"/>
    </row>
    <row r="31" spans="1:8" s="56" customFormat="1" x14ac:dyDescent="0.3">
      <c r="A31" s="61"/>
    </row>
    <row r="32" spans="1:8" s="56" customFormat="1" x14ac:dyDescent="0.3">
      <c r="A32" s="57"/>
      <c r="B32" s="7"/>
    </row>
    <row r="33" spans="1:1" s="56" customFormat="1" x14ac:dyDescent="0.3">
      <c r="A33" s="77"/>
    </row>
  </sheetData>
  <mergeCells count="6">
    <mergeCell ref="A1:H1"/>
    <mergeCell ref="C2:E2"/>
    <mergeCell ref="B7:B8"/>
    <mergeCell ref="E7:E8"/>
    <mergeCell ref="B9:B12"/>
    <mergeCell ref="F9:F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40"/>
  <sheetViews>
    <sheetView topLeftCell="A5" workbookViewId="0">
      <selection activeCell="B15" sqref="B15"/>
    </sheetView>
  </sheetViews>
  <sheetFormatPr defaultRowHeight="14.4" x14ac:dyDescent="0.3"/>
  <cols>
    <col min="1" max="1" width="17" style="6" bestFit="1" customWidth="1"/>
    <col min="2" max="2" width="33.33203125" bestFit="1" customWidth="1"/>
    <col min="3" max="6" width="13.44140625" customWidth="1"/>
    <col min="7" max="7" width="12" bestFit="1" customWidth="1"/>
    <col min="8" max="8" width="13.5546875" customWidth="1"/>
    <col min="9" max="9" width="51.5546875" bestFit="1" customWidth="1"/>
    <col min="10" max="10" width="11" bestFit="1" customWidth="1"/>
    <col min="11" max="11" width="5.77734375" customWidth="1"/>
    <col min="12" max="12" width="255.77734375" bestFit="1" customWidth="1"/>
  </cols>
  <sheetData>
    <row r="1" spans="1:12" ht="21" x14ac:dyDescent="0.3">
      <c r="A1" s="134" t="s">
        <v>15</v>
      </c>
      <c r="B1" s="134"/>
      <c r="C1" s="134"/>
      <c r="D1" s="134"/>
      <c r="E1" s="134"/>
      <c r="F1" s="134"/>
      <c r="G1" s="134"/>
      <c r="H1" s="134"/>
    </row>
    <row r="2" spans="1:12" x14ac:dyDescent="0.3">
      <c r="C2" s="146">
        <v>507.99220000000003</v>
      </c>
      <c r="D2" s="146"/>
      <c r="E2" s="146"/>
      <c r="G2" t="s">
        <v>57</v>
      </c>
      <c r="H2">
        <v>84.424999999999997</v>
      </c>
    </row>
    <row r="4" spans="1:12" s="4" customFormat="1" x14ac:dyDescent="0.3">
      <c r="A4" s="6"/>
      <c r="B4" s="19">
        <v>820980.38</v>
      </c>
      <c r="C4" s="4" t="s">
        <v>17</v>
      </c>
    </row>
    <row r="5" spans="1:12" s="1" customFormat="1" ht="30" x14ac:dyDescent="0.4">
      <c r="A5" s="30" t="s">
        <v>13</v>
      </c>
      <c r="B5" s="31" t="s">
        <v>61</v>
      </c>
      <c r="C5" s="30" t="s">
        <v>0</v>
      </c>
      <c r="D5" s="30" t="s">
        <v>2</v>
      </c>
      <c r="E5" s="30" t="s">
        <v>3</v>
      </c>
      <c r="F5" s="30" t="s">
        <v>9</v>
      </c>
      <c r="G5" s="30" t="s">
        <v>4</v>
      </c>
      <c r="H5" s="30" t="s">
        <v>14</v>
      </c>
      <c r="I5" s="88" t="s">
        <v>31</v>
      </c>
    </row>
    <row r="6" spans="1:12" s="1" customFormat="1" ht="18" x14ac:dyDescent="0.35">
      <c r="A6" s="36"/>
      <c r="B6" s="37" t="s">
        <v>10</v>
      </c>
      <c r="C6" s="38">
        <v>523434.27</v>
      </c>
      <c r="D6" s="38">
        <v>83750</v>
      </c>
      <c r="E6" s="38">
        <v>40000</v>
      </c>
      <c r="F6" s="38">
        <v>173796.11</v>
      </c>
      <c r="G6" s="38"/>
      <c r="H6" s="39">
        <f>SUM(C6:G6)</f>
        <v>820980.38</v>
      </c>
      <c r="I6" s="93">
        <f>+B4-H6</f>
        <v>0</v>
      </c>
      <c r="J6" s="23"/>
      <c r="K6" s="23" t="s">
        <v>1</v>
      </c>
      <c r="L6" s="113" t="s">
        <v>76</v>
      </c>
    </row>
    <row r="7" spans="1:12" s="1" customFormat="1" x14ac:dyDescent="0.3">
      <c r="A7" s="8"/>
      <c r="B7" s="9"/>
      <c r="C7" s="10"/>
      <c r="D7" s="10"/>
      <c r="E7" s="10"/>
      <c r="F7" s="10"/>
      <c r="G7" s="10" t="s">
        <v>22</v>
      </c>
      <c r="H7" s="11"/>
      <c r="I7" s="88"/>
      <c r="K7" s="116">
        <v>1</v>
      </c>
      <c r="L7" s="112" t="s">
        <v>75</v>
      </c>
    </row>
    <row r="8" spans="1:12" s="1" customFormat="1" x14ac:dyDescent="0.3">
      <c r="A8" s="8" t="s">
        <v>7</v>
      </c>
      <c r="B8" s="111">
        <v>2210733</v>
      </c>
      <c r="C8" s="107"/>
      <c r="D8" s="107"/>
      <c r="E8" s="108"/>
      <c r="F8" s="108">
        <v>43714.42</v>
      </c>
      <c r="G8" s="107"/>
      <c r="H8" s="109"/>
      <c r="I8" s="95" t="s">
        <v>78</v>
      </c>
      <c r="K8" s="116">
        <v>2</v>
      </c>
      <c r="L8" s="112" t="s">
        <v>63</v>
      </c>
    </row>
    <row r="9" spans="1:12" x14ac:dyDescent="0.3">
      <c r="B9" s="40" t="s">
        <v>62</v>
      </c>
      <c r="C9" s="41">
        <v>89284.24</v>
      </c>
      <c r="D9" s="41"/>
      <c r="E9" s="41"/>
      <c r="F9" s="41"/>
      <c r="G9" s="41"/>
      <c r="H9" s="85"/>
      <c r="I9" s="95" t="s">
        <v>77</v>
      </c>
      <c r="K9" s="116">
        <v>3</v>
      </c>
      <c r="L9" s="114" t="s">
        <v>64</v>
      </c>
    </row>
    <row r="10" spans="1:12" x14ac:dyDescent="0.3">
      <c r="A10" s="12" t="s">
        <v>6</v>
      </c>
      <c r="B10" s="40"/>
      <c r="C10" s="41"/>
      <c r="D10" s="41"/>
      <c r="E10" s="41"/>
      <c r="F10" s="41"/>
      <c r="G10" s="41"/>
      <c r="H10" s="85"/>
      <c r="I10" s="95"/>
      <c r="K10" s="116">
        <v>4</v>
      </c>
      <c r="L10" s="114" t="s">
        <v>65</v>
      </c>
    </row>
    <row r="11" spans="1:12" x14ac:dyDescent="0.3">
      <c r="A11" s="117" t="s">
        <v>136</v>
      </c>
      <c r="B11" s="42"/>
      <c r="C11" s="41"/>
      <c r="D11" s="41"/>
      <c r="E11" s="41"/>
      <c r="F11" s="41">
        <v>13200</v>
      </c>
      <c r="G11" s="41"/>
      <c r="H11" s="85"/>
      <c r="I11" s="95"/>
      <c r="K11" s="116">
        <v>5</v>
      </c>
      <c r="L11" s="114" t="s">
        <v>66</v>
      </c>
    </row>
    <row r="12" spans="1:12" x14ac:dyDescent="0.3">
      <c r="A12" s="117" t="s">
        <v>137</v>
      </c>
      <c r="B12" s="42"/>
      <c r="C12" s="41"/>
      <c r="D12" s="41"/>
      <c r="E12" s="41"/>
      <c r="F12" s="41">
        <v>24180</v>
      </c>
      <c r="G12" s="41"/>
      <c r="H12" s="85"/>
      <c r="I12" s="95"/>
      <c r="K12" s="116">
        <v>6</v>
      </c>
      <c r="L12" s="114" t="s">
        <v>67</v>
      </c>
    </row>
    <row r="13" spans="1:12" s="44" customFormat="1" x14ac:dyDescent="0.3">
      <c r="A13" s="117" t="s">
        <v>138</v>
      </c>
      <c r="B13" s="40"/>
      <c r="C13" s="41"/>
      <c r="D13" s="41"/>
      <c r="E13" s="41"/>
      <c r="F13" s="41">
        <v>21945</v>
      </c>
      <c r="G13" s="41"/>
      <c r="H13" s="85"/>
      <c r="I13" s="95"/>
      <c r="K13" s="116">
        <v>7</v>
      </c>
      <c r="L13" s="115" t="s">
        <v>68</v>
      </c>
    </row>
    <row r="14" spans="1:12" s="44" customFormat="1" x14ac:dyDescent="0.3">
      <c r="A14" s="117" t="s">
        <v>139</v>
      </c>
      <c r="B14" s="40"/>
      <c r="C14" s="41"/>
      <c r="D14" s="41"/>
      <c r="E14" s="41"/>
      <c r="F14" s="41">
        <v>33180</v>
      </c>
      <c r="G14" s="41"/>
      <c r="H14" s="85"/>
      <c r="I14" s="95"/>
      <c r="K14" s="116">
        <v>8</v>
      </c>
      <c r="L14" s="115" t="s">
        <v>69</v>
      </c>
    </row>
    <row r="15" spans="1:12" s="44" customFormat="1" x14ac:dyDescent="0.3">
      <c r="A15" s="117" t="s">
        <v>89</v>
      </c>
      <c r="B15" s="40"/>
      <c r="C15" s="41">
        <v>90000</v>
      </c>
      <c r="D15" s="41"/>
      <c r="E15" s="41"/>
      <c r="F15" s="41"/>
      <c r="G15" s="41"/>
      <c r="H15" s="85"/>
      <c r="I15" s="95" t="s">
        <v>77</v>
      </c>
      <c r="K15" s="116">
        <v>9</v>
      </c>
      <c r="L15" s="115" t="s">
        <v>70</v>
      </c>
    </row>
    <row r="16" spans="1:12" x14ac:dyDescent="0.3">
      <c r="A16" s="117" t="s">
        <v>90</v>
      </c>
      <c r="B16" s="40"/>
      <c r="C16" s="41"/>
      <c r="D16" s="41"/>
      <c r="E16" s="41">
        <v>140000</v>
      </c>
      <c r="F16" s="41"/>
      <c r="G16" s="41"/>
      <c r="H16" s="85"/>
      <c r="I16" s="95" t="s">
        <v>79</v>
      </c>
      <c r="K16" s="116">
        <v>10</v>
      </c>
      <c r="L16" s="115" t="s">
        <v>71</v>
      </c>
    </row>
    <row r="17" spans="1:12" x14ac:dyDescent="0.3">
      <c r="A17" s="117" t="s">
        <v>89</v>
      </c>
      <c r="B17" s="85"/>
      <c r="C17" s="41">
        <v>90000</v>
      </c>
      <c r="D17" s="41"/>
      <c r="E17" s="41"/>
      <c r="F17" s="41"/>
      <c r="G17" s="41"/>
      <c r="H17" s="105"/>
      <c r="I17" s="95" t="s">
        <v>77</v>
      </c>
      <c r="K17" s="116">
        <v>11</v>
      </c>
      <c r="L17" s="114" t="s">
        <v>72</v>
      </c>
    </row>
    <row r="18" spans="1:12" x14ac:dyDescent="0.3">
      <c r="A18" s="117" t="s">
        <v>94</v>
      </c>
      <c r="B18" s="40"/>
      <c r="C18" s="41"/>
      <c r="D18" s="41"/>
      <c r="E18" s="41"/>
      <c r="F18" s="41">
        <v>45000</v>
      </c>
      <c r="G18" s="41"/>
      <c r="H18" s="85"/>
      <c r="I18" s="95" t="s">
        <v>97</v>
      </c>
      <c r="K18" s="116">
        <v>12</v>
      </c>
      <c r="L18" s="114" t="s">
        <v>73</v>
      </c>
    </row>
    <row r="19" spans="1:12" x14ac:dyDescent="0.3">
      <c r="A19" s="12" t="s">
        <v>99</v>
      </c>
      <c r="B19" s="85"/>
      <c r="C19" s="85"/>
      <c r="D19" s="85"/>
      <c r="E19" s="41"/>
      <c r="F19" s="85"/>
      <c r="G19" s="85">
        <v>230476.72</v>
      </c>
      <c r="H19" s="85"/>
      <c r="I19" s="95" t="s">
        <v>98</v>
      </c>
      <c r="K19" s="116">
        <v>13</v>
      </c>
      <c r="L19" s="114" t="s">
        <v>74</v>
      </c>
    </row>
    <row r="20" spans="1:12" x14ac:dyDescent="0.3">
      <c r="A20" s="12"/>
      <c r="B20" s="40"/>
      <c r="C20" s="41"/>
      <c r="D20" s="41"/>
      <c r="E20" s="41"/>
      <c r="F20" s="41"/>
      <c r="G20" s="41"/>
      <c r="H20" s="85"/>
      <c r="I20" s="95"/>
    </row>
    <row r="21" spans="1:12" x14ac:dyDescent="0.3">
      <c r="A21" s="12"/>
      <c r="B21" s="40"/>
      <c r="C21" s="41"/>
      <c r="D21" s="41"/>
      <c r="E21" s="41"/>
      <c r="F21" s="41"/>
      <c r="G21" s="41"/>
      <c r="H21" s="85"/>
      <c r="I21" s="95"/>
    </row>
    <row r="22" spans="1:12" x14ac:dyDescent="0.3">
      <c r="A22" s="12"/>
      <c r="B22" s="85"/>
      <c r="C22" s="41"/>
      <c r="D22" s="41"/>
      <c r="E22" s="41"/>
      <c r="F22" s="41"/>
      <c r="G22" s="41"/>
      <c r="H22" s="85"/>
      <c r="I22" s="95"/>
    </row>
    <row r="23" spans="1:12" x14ac:dyDescent="0.3">
      <c r="A23" s="12"/>
      <c r="B23" s="40"/>
      <c r="C23" s="41"/>
      <c r="D23" s="41"/>
      <c r="E23" s="41"/>
      <c r="F23" s="41"/>
      <c r="G23" s="41"/>
      <c r="H23" s="41"/>
      <c r="I23" s="95"/>
    </row>
    <row r="24" spans="1:12" x14ac:dyDescent="0.3">
      <c r="A24" s="12"/>
      <c r="B24" s="85" t="s">
        <v>1</v>
      </c>
      <c r="C24" s="41"/>
      <c r="D24" s="41"/>
      <c r="E24" s="41"/>
      <c r="F24" s="41"/>
      <c r="G24" s="41"/>
      <c r="H24" s="41"/>
      <c r="I24" s="95"/>
    </row>
    <row r="25" spans="1:12" x14ac:dyDescent="0.3">
      <c r="A25" s="12"/>
      <c r="B25" s="110" t="s">
        <v>11</v>
      </c>
      <c r="C25" s="41">
        <f>SUM(C8:C24)</f>
        <v>269284.24</v>
      </c>
      <c r="D25" s="41">
        <f t="shared" ref="D25:G25" si="0">SUM(D8:D24)</f>
        <v>0</v>
      </c>
      <c r="E25" s="41">
        <f t="shared" si="0"/>
        <v>140000</v>
      </c>
      <c r="F25" s="41">
        <f t="shared" si="0"/>
        <v>181219.41999999998</v>
      </c>
      <c r="G25" s="41">
        <f t="shared" si="0"/>
        <v>230476.72</v>
      </c>
      <c r="H25" s="105">
        <f>SUM(C25:G25)</f>
        <v>820980.37999999989</v>
      </c>
      <c r="I25" s="95"/>
    </row>
    <row r="26" spans="1:12" x14ac:dyDescent="0.3">
      <c r="A26" s="12"/>
      <c r="B26" s="13"/>
      <c r="C26" s="14"/>
      <c r="D26" s="14"/>
      <c r="E26" s="14"/>
      <c r="F26" s="14"/>
      <c r="G26" s="14"/>
      <c r="H26" s="13"/>
      <c r="I26" s="95"/>
    </row>
    <row r="27" spans="1:12" x14ac:dyDescent="0.3">
      <c r="A27" s="12"/>
      <c r="B27" s="18" t="s">
        <v>12</v>
      </c>
      <c r="C27" s="14">
        <f>C6-C25</f>
        <v>254150.03000000003</v>
      </c>
      <c r="D27" s="14">
        <f t="shared" ref="D27:G27" si="1">D6-D25</f>
        <v>83750</v>
      </c>
      <c r="E27" s="14">
        <f t="shared" si="1"/>
        <v>-100000</v>
      </c>
      <c r="F27" s="14">
        <f t="shared" si="1"/>
        <v>-7423.3099999999977</v>
      </c>
      <c r="G27" s="14">
        <f t="shared" si="1"/>
        <v>-230476.72</v>
      </c>
      <c r="H27" s="14">
        <f>H6-H25</f>
        <v>0</v>
      </c>
      <c r="I27" s="95"/>
    </row>
    <row r="28" spans="1:12" x14ac:dyDescent="0.3">
      <c r="B28" s="7" t="s">
        <v>20</v>
      </c>
      <c r="C28" s="2"/>
      <c r="D28" s="2"/>
      <c r="E28" s="2"/>
    </row>
    <row r="29" spans="1:12" x14ac:dyDescent="0.3">
      <c r="B29" s="7"/>
      <c r="C29" s="2"/>
      <c r="D29" s="2"/>
      <c r="E29" s="2"/>
      <c r="L29" s="56"/>
    </row>
    <row r="30" spans="1:12" s="56" customFormat="1" x14ac:dyDescent="0.3">
      <c r="A30" s="81"/>
      <c r="L30" s="64"/>
    </row>
    <row r="31" spans="1:12" s="64" customFormat="1" x14ac:dyDescent="0.3">
      <c r="A31" s="63"/>
      <c r="C31" s="65"/>
      <c r="D31" s="65"/>
      <c r="E31" s="65"/>
      <c r="F31" s="65"/>
      <c r="G31" s="65"/>
      <c r="H31" s="66"/>
      <c r="L31" s="56"/>
    </row>
    <row r="32" spans="1:12" s="56" customFormat="1" x14ac:dyDescent="0.3">
      <c r="A32" s="55"/>
    </row>
    <row r="33" spans="1:12" s="56" customFormat="1" x14ac:dyDescent="0.3">
      <c r="A33" s="57"/>
      <c r="B33" s="58"/>
    </row>
    <row r="34" spans="1:12" s="56" customFormat="1" x14ac:dyDescent="0.3">
      <c r="A34" s="59"/>
      <c r="C34" s="60"/>
      <c r="L34" s="67"/>
    </row>
    <row r="35" spans="1:12" s="67" customFormat="1" x14ac:dyDescent="0.3">
      <c r="A35" s="62"/>
    </row>
    <row r="36" spans="1:12" s="67" customFormat="1" x14ac:dyDescent="0.3">
      <c r="A36" s="68"/>
      <c r="B36" s="69"/>
      <c r="L36" s="71"/>
    </row>
    <row r="37" spans="1:12" s="71" customFormat="1" x14ac:dyDescent="0.3">
      <c r="A37" s="70"/>
    </row>
    <row r="38" spans="1:12" s="71" customFormat="1" x14ac:dyDescent="0.3">
      <c r="A38" s="72"/>
      <c r="B38" s="73"/>
      <c r="L38"/>
    </row>
    <row r="39" spans="1:12" x14ac:dyDescent="0.3">
      <c r="A39" s="61"/>
    </row>
    <row r="40" spans="1:12" x14ac:dyDescent="0.3">
      <c r="A40" s="61"/>
    </row>
  </sheetData>
  <mergeCells count="2">
    <mergeCell ref="A1:H1"/>
    <mergeCell ref="C2:E2"/>
  </mergeCells>
  <pageMargins left="0.7" right="0.7" top="0.75" bottom="0.75" header="0.3" footer="0.3"/>
  <pageSetup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pageSetUpPr fitToPage="1"/>
  </sheetPr>
  <dimension ref="A1:Q77"/>
  <sheetViews>
    <sheetView topLeftCell="A2" workbookViewId="0">
      <selection activeCell="B24" sqref="B24"/>
    </sheetView>
  </sheetViews>
  <sheetFormatPr defaultRowHeight="14.4" x14ac:dyDescent="0.3"/>
  <cols>
    <col min="1" max="1" width="5.88671875" style="6" bestFit="1" customWidth="1"/>
    <col min="2" max="2" width="33.33203125" bestFit="1" customWidth="1"/>
    <col min="3" max="3" width="11.5546875" customWidth="1"/>
    <col min="4" max="4" width="11.88671875" bestFit="1" customWidth="1"/>
    <col min="5" max="5" width="13.6640625" bestFit="1" customWidth="1"/>
    <col min="6" max="7" width="11.88671875" bestFit="1" customWidth="1"/>
    <col min="8" max="8" width="13.5546875" bestFit="1" customWidth="1"/>
    <col min="9" max="9" width="41.33203125" bestFit="1" customWidth="1"/>
    <col min="10" max="10" width="13.6640625" bestFit="1" customWidth="1"/>
  </cols>
  <sheetData>
    <row r="1" spans="1:17" x14ac:dyDescent="0.3">
      <c r="E1" s="86" t="s">
        <v>30</v>
      </c>
    </row>
    <row r="2" spans="1:17" s="4" customFormat="1" x14ac:dyDescent="0.3">
      <c r="A2" s="6"/>
      <c r="B2" s="89">
        <v>1845114.93</v>
      </c>
      <c r="C2" s="4" t="s">
        <v>56</v>
      </c>
      <c r="E2" s="19">
        <f>+B2*20%</f>
        <v>369022.98600000003</v>
      </c>
      <c r="J2" s="91">
        <f>0.2*B2</f>
        <v>369022.98600000003</v>
      </c>
    </row>
    <row r="3" spans="1:17" s="1" customFormat="1" ht="30" x14ac:dyDescent="0.4">
      <c r="A3" s="46" t="s">
        <v>13</v>
      </c>
      <c r="B3" s="51" t="s">
        <v>80</v>
      </c>
      <c r="C3" s="46" t="s">
        <v>0</v>
      </c>
      <c r="D3" s="46" t="s">
        <v>2</v>
      </c>
      <c r="E3" s="46" t="s">
        <v>3</v>
      </c>
      <c r="F3" s="46" t="s">
        <v>9</v>
      </c>
      <c r="G3" s="46" t="s">
        <v>4</v>
      </c>
      <c r="H3" s="46" t="s">
        <v>14</v>
      </c>
      <c r="I3" s="92" t="s">
        <v>42</v>
      </c>
      <c r="J3" s="97" t="s">
        <v>50</v>
      </c>
    </row>
    <row r="4" spans="1:17" s="1" customFormat="1" x14ac:dyDescent="0.3">
      <c r="A4" s="47"/>
      <c r="B4" s="48" t="s">
        <v>10</v>
      </c>
      <c r="C4" s="49">
        <f>(410113.93*0.85)-15472.91</f>
        <v>333123.93050000002</v>
      </c>
      <c r="D4" s="49">
        <f>61517.09+5472.91</f>
        <v>66990</v>
      </c>
      <c r="E4" s="49">
        <v>470000</v>
      </c>
      <c r="F4" s="49">
        <v>15000</v>
      </c>
      <c r="G4" s="49">
        <v>960000</v>
      </c>
      <c r="H4" s="50">
        <f>SUM(C4:G4)</f>
        <v>1845113.9305</v>
      </c>
      <c r="I4" s="93">
        <f>+B2-H4</f>
        <v>0.99949999991804361</v>
      </c>
      <c r="J4" s="94" t="s">
        <v>1</v>
      </c>
    </row>
    <row r="5" spans="1:17" s="1" customFormat="1" x14ac:dyDescent="0.3">
      <c r="A5" s="8"/>
      <c r="B5" s="9"/>
      <c r="C5" s="10"/>
      <c r="D5" s="10"/>
      <c r="E5" s="10"/>
      <c r="F5" s="10"/>
      <c r="G5" s="10"/>
      <c r="H5" s="11"/>
      <c r="I5" s="88"/>
      <c r="J5" s="98"/>
      <c r="K5" s="56"/>
      <c r="L5" s="56"/>
      <c r="M5" s="56"/>
      <c r="N5" s="56"/>
      <c r="O5" s="56"/>
      <c r="P5" s="56" t="s">
        <v>1</v>
      </c>
      <c r="Q5" s="56"/>
    </row>
    <row r="6" spans="1:17" s="44" customFormat="1" x14ac:dyDescent="0.3">
      <c r="A6" s="12" t="s">
        <v>6</v>
      </c>
      <c r="B6" s="40"/>
      <c r="C6" s="41"/>
      <c r="D6" s="41"/>
      <c r="E6" s="41"/>
      <c r="F6" s="41"/>
      <c r="G6" s="41"/>
      <c r="H6" s="85"/>
      <c r="I6" s="95" t="s">
        <v>35</v>
      </c>
      <c r="J6" s="99"/>
      <c r="L6" s="56" t="s">
        <v>84</v>
      </c>
      <c r="M6" s="56"/>
      <c r="N6" s="56"/>
      <c r="O6" s="56"/>
      <c r="P6" s="56"/>
      <c r="Q6" s="56"/>
    </row>
    <row r="7" spans="1:17" x14ac:dyDescent="0.3">
      <c r="A7" s="12"/>
      <c r="B7" s="85" t="s">
        <v>140</v>
      </c>
      <c r="C7" s="41">
        <v>65000</v>
      </c>
      <c r="D7" s="105">
        <f>C7*0.2</f>
        <v>13000</v>
      </c>
      <c r="E7" s="85"/>
      <c r="F7" s="85"/>
      <c r="G7" s="41"/>
      <c r="H7" s="85"/>
      <c r="I7" s="95" t="s">
        <v>36</v>
      </c>
      <c r="J7" s="99"/>
      <c r="L7" t="s">
        <v>81</v>
      </c>
    </row>
    <row r="8" spans="1:17" x14ac:dyDescent="0.3">
      <c r="A8" s="12"/>
      <c r="B8" s="42" t="s">
        <v>87</v>
      </c>
      <c r="C8" s="41">
        <v>29000</v>
      </c>
      <c r="D8" s="105">
        <f t="shared" ref="D8" si="0">C8*0.2</f>
        <v>5800</v>
      </c>
      <c r="E8" s="41"/>
      <c r="F8" s="41"/>
      <c r="G8" s="41"/>
      <c r="H8" s="85"/>
      <c r="I8" s="95" t="s">
        <v>51</v>
      </c>
      <c r="J8" s="99"/>
      <c r="L8" t="s">
        <v>82</v>
      </c>
    </row>
    <row r="9" spans="1:17" x14ac:dyDescent="0.3">
      <c r="A9" s="12"/>
      <c r="B9" s="40" t="s">
        <v>141</v>
      </c>
      <c r="C9" s="41">
        <v>70000</v>
      </c>
      <c r="D9" s="105">
        <f>C9*0.2+365.21</f>
        <v>14365.21</v>
      </c>
      <c r="E9" s="41"/>
      <c r="F9" s="41"/>
      <c r="G9" s="41"/>
      <c r="H9" s="85"/>
      <c r="I9" s="95" t="s">
        <v>37</v>
      </c>
      <c r="J9" s="98"/>
      <c r="K9" s="58"/>
      <c r="L9" t="s">
        <v>83</v>
      </c>
    </row>
    <row r="10" spans="1:17" x14ac:dyDescent="0.3">
      <c r="A10" s="12"/>
      <c r="B10" s="104"/>
      <c r="C10" s="41"/>
      <c r="D10" s="41"/>
      <c r="E10" s="41"/>
      <c r="F10" s="41"/>
      <c r="G10" s="41"/>
      <c r="H10" s="85"/>
      <c r="I10" s="95" t="s">
        <v>37</v>
      </c>
      <c r="J10" s="99"/>
    </row>
    <row r="11" spans="1:17" x14ac:dyDescent="0.3">
      <c r="A11" s="12"/>
      <c r="B11" s="104"/>
      <c r="C11" s="41"/>
      <c r="D11" s="41"/>
      <c r="E11" s="41"/>
      <c r="F11" s="41"/>
      <c r="G11" s="41"/>
      <c r="H11" s="85"/>
      <c r="I11" s="95" t="s">
        <v>53</v>
      </c>
      <c r="J11" s="99">
        <f>E11</f>
        <v>0</v>
      </c>
    </row>
    <row r="12" spans="1:17" x14ac:dyDescent="0.3">
      <c r="A12" s="12"/>
      <c r="B12" s="85" t="s">
        <v>95</v>
      </c>
      <c r="C12" s="41"/>
      <c r="D12" s="41"/>
      <c r="E12" s="41">
        <v>35000</v>
      </c>
      <c r="F12" s="41"/>
      <c r="G12" s="41"/>
      <c r="H12" s="85"/>
      <c r="I12" s="95" t="s">
        <v>32</v>
      </c>
      <c r="J12" s="98"/>
      <c r="K12" s="56"/>
      <c r="L12" s="56"/>
      <c r="M12" s="1"/>
      <c r="N12" s="1"/>
      <c r="O12" s="1"/>
      <c r="P12" s="1"/>
    </row>
    <row r="13" spans="1:17" x14ac:dyDescent="0.3">
      <c r="A13" s="12"/>
      <c r="B13" s="85" t="s">
        <v>85</v>
      </c>
      <c r="C13" s="41"/>
      <c r="D13" s="41"/>
      <c r="E13" s="41">
        <v>200000</v>
      </c>
      <c r="F13" s="41"/>
      <c r="G13" s="41"/>
      <c r="H13" s="85"/>
      <c r="I13" s="95" t="s">
        <v>35</v>
      </c>
      <c r="J13" s="99"/>
    </row>
    <row r="14" spans="1:17" x14ac:dyDescent="0.3">
      <c r="A14" s="12"/>
      <c r="B14" s="85" t="s">
        <v>18</v>
      </c>
      <c r="C14" s="85"/>
      <c r="D14" s="85"/>
      <c r="E14" s="85"/>
      <c r="F14" s="41"/>
      <c r="G14" s="41">
        <v>105000</v>
      </c>
      <c r="H14" s="85"/>
      <c r="I14" s="95" t="s">
        <v>39</v>
      </c>
      <c r="J14" s="99">
        <f>F14</f>
        <v>0</v>
      </c>
    </row>
    <row r="15" spans="1:17" x14ac:dyDescent="0.3">
      <c r="A15" s="12" t="s">
        <v>16</v>
      </c>
      <c r="B15" s="104"/>
      <c r="C15" s="41"/>
      <c r="D15" s="41"/>
      <c r="E15" s="41"/>
      <c r="F15" s="41"/>
      <c r="G15" s="41"/>
      <c r="H15" s="85"/>
      <c r="I15" s="95" t="s">
        <v>39</v>
      </c>
      <c r="J15" s="98"/>
      <c r="K15" s="69"/>
      <c r="L15" s="69"/>
      <c r="M15" s="69"/>
      <c r="N15" s="69"/>
      <c r="O15" s="69"/>
    </row>
    <row r="16" spans="1:17" x14ac:dyDescent="0.3">
      <c r="A16" s="12"/>
      <c r="B16" s="104" t="s">
        <v>140</v>
      </c>
      <c r="C16" s="41">
        <f>C7*1.03</f>
        <v>66950</v>
      </c>
      <c r="D16" s="41">
        <f>C16*0.2</f>
        <v>13390</v>
      </c>
      <c r="E16" s="41"/>
      <c r="F16" s="41"/>
      <c r="G16" s="41"/>
      <c r="H16" s="85"/>
      <c r="I16" s="95" t="s">
        <v>35</v>
      </c>
      <c r="J16" s="99"/>
      <c r="K16" s="69"/>
      <c r="L16" s="69"/>
      <c r="M16" s="69"/>
      <c r="N16" s="69"/>
      <c r="O16" s="69"/>
    </row>
    <row r="17" spans="1:10" x14ac:dyDescent="0.3">
      <c r="A17" s="12"/>
      <c r="B17" s="104" t="s">
        <v>87</v>
      </c>
      <c r="C17" s="41">
        <f>C8*1.03+203.93</f>
        <v>30073.93</v>
      </c>
      <c r="D17" s="41">
        <f t="shared" ref="D17:D18" si="1">C17*0.2</f>
        <v>6014.7860000000001</v>
      </c>
      <c r="E17" s="41"/>
      <c r="F17" s="41"/>
      <c r="G17" s="41"/>
      <c r="H17" s="85"/>
      <c r="I17" s="95" t="s">
        <v>40</v>
      </c>
      <c r="J17" s="99">
        <f>F17</f>
        <v>0</v>
      </c>
    </row>
    <row r="18" spans="1:10" x14ac:dyDescent="0.3">
      <c r="A18" s="12"/>
      <c r="B18" s="104" t="s">
        <v>141</v>
      </c>
      <c r="C18" s="41">
        <f t="shared" ref="C18" si="2">C9*1.03</f>
        <v>72100</v>
      </c>
      <c r="D18" s="41">
        <f t="shared" si="1"/>
        <v>14420</v>
      </c>
      <c r="E18" s="41"/>
      <c r="F18" s="41"/>
      <c r="G18" s="41"/>
      <c r="H18" s="85"/>
      <c r="I18" s="95" t="s">
        <v>39</v>
      </c>
      <c r="J18" s="98">
        <f>F18</f>
        <v>0</v>
      </c>
    </row>
    <row r="19" spans="1:10" x14ac:dyDescent="0.3">
      <c r="A19" s="12"/>
      <c r="B19" s="104"/>
      <c r="C19" s="41"/>
      <c r="D19" s="41"/>
      <c r="E19" s="41"/>
      <c r="F19" s="41"/>
      <c r="G19" s="41"/>
      <c r="H19" s="85"/>
      <c r="I19" s="95" t="s">
        <v>35</v>
      </c>
      <c r="J19" s="99"/>
    </row>
    <row r="20" spans="1:10" x14ac:dyDescent="0.3">
      <c r="A20" s="12"/>
      <c r="B20" s="85" t="s">
        <v>88</v>
      </c>
      <c r="C20" s="41"/>
      <c r="D20" s="41"/>
      <c r="E20" s="41"/>
      <c r="F20" s="41">
        <v>15000</v>
      </c>
      <c r="G20" s="41"/>
      <c r="H20" s="41"/>
      <c r="I20" s="95" t="s">
        <v>39</v>
      </c>
      <c r="J20" s="98"/>
    </row>
    <row r="21" spans="1:10" x14ac:dyDescent="0.3">
      <c r="A21" s="12"/>
      <c r="B21" s="85"/>
      <c r="C21" s="41"/>
      <c r="D21" s="41"/>
      <c r="E21" s="41"/>
      <c r="F21" s="41"/>
      <c r="G21" s="41"/>
      <c r="H21" s="85"/>
      <c r="I21" s="95" t="s">
        <v>54</v>
      </c>
      <c r="J21" s="98"/>
    </row>
    <row r="22" spans="1:10" x14ac:dyDescent="0.3">
      <c r="A22" s="12"/>
      <c r="B22" s="40"/>
      <c r="C22" s="41"/>
      <c r="D22" s="41"/>
      <c r="E22" s="41"/>
      <c r="F22" s="41"/>
      <c r="G22" s="41"/>
      <c r="H22" s="85"/>
      <c r="I22" s="95" t="s">
        <v>54</v>
      </c>
      <c r="J22" s="99"/>
    </row>
    <row r="23" spans="1:10" x14ac:dyDescent="0.3">
      <c r="A23" s="12"/>
      <c r="B23" s="40"/>
      <c r="C23" s="41"/>
      <c r="D23" s="41"/>
      <c r="E23" s="41"/>
      <c r="F23" s="41"/>
      <c r="G23" s="41"/>
      <c r="H23" s="85"/>
      <c r="I23" s="95" t="s">
        <v>55</v>
      </c>
      <c r="J23" s="99"/>
    </row>
    <row r="24" spans="1:10" x14ac:dyDescent="0.3">
      <c r="A24" s="12"/>
      <c r="B24" s="40"/>
      <c r="C24" s="41"/>
      <c r="D24" s="41"/>
      <c r="E24" s="41"/>
      <c r="F24" s="41"/>
      <c r="G24" s="41"/>
      <c r="H24" s="85"/>
      <c r="I24" s="95" t="s">
        <v>33</v>
      </c>
      <c r="J24" s="98"/>
    </row>
    <row r="25" spans="1:10" x14ac:dyDescent="0.3">
      <c r="A25" s="12"/>
      <c r="B25" s="40"/>
      <c r="C25" s="41"/>
      <c r="D25" s="41"/>
      <c r="E25" s="41"/>
      <c r="F25" s="41"/>
      <c r="G25" s="41"/>
      <c r="H25" s="41"/>
      <c r="I25" s="95" t="s">
        <v>35</v>
      </c>
      <c r="J25" s="99">
        <f>C25+D25</f>
        <v>0</v>
      </c>
    </row>
    <row r="26" spans="1:10" x14ac:dyDescent="0.3">
      <c r="A26" s="12" t="s">
        <v>1</v>
      </c>
      <c r="B26" s="40"/>
      <c r="C26" s="41"/>
      <c r="D26" s="41"/>
      <c r="E26" s="41"/>
      <c r="F26" s="41"/>
      <c r="G26" s="41"/>
      <c r="H26" s="41"/>
      <c r="I26" s="95" t="s">
        <v>53</v>
      </c>
      <c r="J26" s="99">
        <f>C26+D26</f>
        <v>0</v>
      </c>
    </row>
    <row r="27" spans="1:10" x14ac:dyDescent="0.3">
      <c r="A27" s="12"/>
      <c r="B27" s="40"/>
      <c r="C27" s="41"/>
      <c r="D27" s="41"/>
      <c r="E27" s="41"/>
      <c r="F27" s="41"/>
      <c r="G27" s="41"/>
      <c r="H27" s="41"/>
      <c r="I27" s="95" t="s">
        <v>37</v>
      </c>
      <c r="J27" s="98"/>
    </row>
    <row r="28" spans="1:10" x14ac:dyDescent="0.3">
      <c r="A28" s="12"/>
      <c r="B28" s="104"/>
      <c r="C28" s="41"/>
      <c r="D28" s="41"/>
      <c r="E28" s="41"/>
      <c r="F28" s="41"/>
      <c r="G28" s="41"/>
      <c r="H28" s="41"/>
      <c r="I28" s="95" t="s">
        <v>37</v>
      </c>
      <c r="J28" s="99"/>
    </row>
    <row r="29" spans="1:10" x14ac:dyDescent="0.3">
      <c r="A29" s="12"/>
      <c r="B29" s="104"/>
      <c r="C29" s="41"/>
      <c r="D29" s="41"/>
      <c r="E29" s="41"/>
      <c r="F29" s="41"/>
      <c r="G29" s="41"/>
      <c r="H29" s="85"/>
      <c r="I29" s="95" t="s">
        <v>53</v>
      </c>
      <c r="J29" s="99">
        <f>C29+D29</f>
        <v>0</v>
      </c>
    </row>
    <row r="30" spans="1:10" x14ac:dyDescent="0.3">
      <c r="A30" s="12"/>
      <c r="B30" s="85"/>
      <c r="C30" s="85"/>
      <c r="D30" s="85"/>
      <c r="E30" s="41"/>
      <c r="F30" s="85"/>
      <c r="G30" s="85"/>
      <c r="H30" s="85"/>
      <c r="I30" s="95" t="s">
        <v>33</v>
      </c>
      <c r="J30" s="99"/>
    </row>
    <row r="31" spans="1:10" x14ac:dyDescent="0.3">
      <c r="A31" s="12"/>
      <c r="B31" s="40"/>
      <c r="C31" s="41"/>
      <c r="D31" s="41"/>
      <c r="E31" s="41"/>
      <c r="F31" s="41"/>
      <c r="G31" s="41"/>
      <c r="H31" s="85"/>
      <c r="I31" s="95" t="s">
        <v>55</v>
      </c>
      <c r="J31" s="98"/>
    </row>
    <row r="32" spans="1:10" x14ac:dyDescent="0.3">
      <c r="A32" s="12"/>
      <c r="B32" s="104"/>
      <c r="C32" s="41"/>
      <c r="D32" s="41"/>
      <c r="E32" s="41"/>
      <c r="F32" s="41"/>
      <c r="G32" s="41"/>
      <c r="H32" s="85"/>
      <c r="I32" s="95" t="s">
        <v>38</v>
      </c>
      <c r="J32" s="99"/>
    </row>
    <row r="33" spans="1:10" x14ac:dyDescent="0.3">
      <c r="A33" s="12"/>
      <c r="B33" s="42"/>
      <c r="C33" s="41"/>
      <c r="D33" s="41"/>
      <c r="E33" s="41"/>
      <c r="F33" s="41"/>
      <c r="G33" s="41"/>
      <c r="H33" s="105"/>
      <c r="I33" s="95" t="s">
        <v>53</v>
      </c>
      <c r="J33" s="98">
        <f>F33</f>
        <v>0</v>
      </c>
    </row>
    <row r="34" spans="1:10" x14ac:dyDescent="0.3">
      <c r="A34" s="12"/>
      <c r="B34" s="104"/>
      <c r="C34" s="41"/>
      <c r="D34" s="41"/>
      <c r="E34" s="41"/>
      <c r="F34" s="41"/>
      <c r="G34" s="41"/>
      <c r="H34" s="85"/>
      <c r="I34" s="95" t="s">
        <v>53</v>
      </c>
      <c r="J34" s="99">
        <f>E34</f>
        <v>0</v>
      </c>
    </row>
    <row r="35" spans="1:10" x14ac:dyDescent="0.3">
      <c r="A35" s="12"/>
      <c r="B35" s="104" t="s">
        <v>96</v>
      </c>
      <c r="C35" s="41"/>
      <c r="D35" s="41"/>
      <c r="E35" s="41">
        <v>35000</v>
      </c>
      <c r="F35" s="41"/>
      <c r="G35" s="41"/>
      <c r="H35" s="85"/>
      <c r="I35" s="95" t="s">
        <v>41</v>
      </c>
      <c r="J35" s="99"/>
    </row>
    <row r="36" spans="1:10" x14ac:dyDescent="0.3">
      <c r="A36" s="12"/>
      <c r="B36" s="104" t="s">
        <v>85</v>
      </c>
      <c r="C36" s="106"/>
      <c r="D36" s="106"/>
      <c r="E36" s="106">
        <v>200000</v>
      </c>
      <c r="F36" s="106"/>
      <c r="G36" s="106"/>
      <c r="H36" s="85"/>
      <c r="I36" s="95" t="s">
        <v>43</v>
      </c>
      <c r="J36" s="99"/>
    </row>
    <row r="37" spans="1:10" x14ac:dyDescent="0.3">
      <c r="A37" s="12"/>
      <c r="B37" s="104" t="s">
        <v>18</v>
      </c>
      <c r="C37" s="41"/>
      <c r="D37" s="41"/>
      <c r="E37" s="41"/>
      <c r="F37" s="85"/>
      <c r="G37" s="41">
        <v>105000</v>
      </c>
      <c r="H37" s="85"/>
      <c r="I37" s="95" t="s">
        <v>43</v>
      </c>
      <c r="J37" s="99"/>
    </row>
    <row r="38" spans="1:10" x14ac:dyDescent="0.3">
      <c r="A38" s="12"/>
      <c r="B38" s="40" t="s">
        <v>86</v>
      </c>
      <c r="C38" s="41"/>
      <c r="D38" s="41"/>
      <c r="E38" s="41"/>
      <c r="F38" s="41"/>
      <c r="G38" s="41">
        <v>750000</v>
      </c>
      <c r="H38" s="85"/>
      <c r="I38" s="95" t="s">
        <v>34</v>
      </c>
      <c r="J38" s="99"/>
    </row>
    <row r="39" spans="1:10" x14ac:dyDescent="0.3">
      <c r="A39" s="12"/>
      <c r="B39" s="40"/>
      <c r="C39" s="41"/>
      <c r="D39" s="41"/>
      <c r="E39" s="41"/>
      <c r="F39" s="41"/>
      <c r="G39" s="41"/>
      <c r="H39" s="85"/>
      <c r="I39" s="95" t="s">
        <v>51</v>
      </c>
      <c r="J39" s="99"/>
    </row>
    <row r="40" spans="1:10" x14ac:dyDescent="0.3">
      <c r="A40" s="12"/>
      <c r="B40" s="85"/>
      <c r="C40" s="85"/>
      <c r="D40" s="85"/>
      <c r="E40" s="85"/>
      <c r="F40" s="85"/>
      <c r="G40" s="41"/>
      <c r="H40" s="85"/>
      <c r="I40" s="95" t="s">
        <v>36</v>
      </c>
      <c r="J40" s="99"/>
    </row>
    <row r="41" spans="1:10" ht="15.75" customHeight="1" x14ac:dyDescent="0.3">
      <c r="A41" s="12"/>
      <c r="B41" s="40"/>
      <c r="C41" s="41"/>
      <c r="D41" s="41"/>
      <c r="E41" s="41"/>
      <c r="F41" s="41"/>
      <c r="G41" s="41"/>
      <c r="H41" s="105"/>
      <c r="I41" s="95"/>
      <c r="J41" s="99"/>
    </row>
    <row r="42" spans="1:10" x14ac:dyDescent="0.3">
      <c r="A42" s="12"/>
      <c r="B42" s="17" t="s">
        <v>11</v>
      </c>
      <c r="C42" s="90">
        <f>SUM(C5:C40)</f>
        <v>333123.93</v>
      </c>
      <c r="D42" s="90">
        <f t="shared" ref="D42:G42" si="3">SUM(D5:D40)</f>
        <v>66989.995999999999</v>
      </c>
      <c r="E42" s="90">
        <f t="shared" si="3"/>
        <v>470000</v>
      </c>
      <c r="F42" s="90">
        <f t="shared" si="3"/>
        <v>15000</v>
      </c>
      <c r="G42" s="90">
        <f t="shared" si="3"/>
        <v>960000</v>
      </c>
      <c r="H42" s="90">
        <f>SUM(C42:G42)</f>
        <v>1845113.926</v>
      </c>
      <c r="I42" s="103" t="s">
        <v>52</v>
      </c>
      <c r="J42" s="100">
        <f t="shared" ref="J42" si="4">SUM(J5:J40)</f>
        <v>0</v>
      </c>
    </row>
    <row r="43" spans="1:10" x14ac:dyDescent="0.3">
      <c r="B43" s="13"/>
      <c r="C43" s="14"/>
      <c r="D43" s="14"/>
      <c r="E43" s="14"/>
      <c r="F43" s="14"/>
      <c r="G43" s="14"/>
      <c r="H43" s="15"/>
      <c r="I43" s="95"/>
      <c r="J43" s="102" t="str">
        <f>IF(J42=J46&gt;J2,"Met","Not Met")</f>
        <v>Met</v>
      </c>
    </row>
    <row r="44" spans="1:10" x14ac:dyDescent="0.3">
      <c r="B44" s="18" t="s">
        <v>12</v>
      </c>
      <c r="C44" s="14">
        <f t="shared" ref="C44:H44" si="5">+C4-C42</f>
        <v>5.0000002374872565E-4</v>
      </c>
      <c r="D44" s="14">
        <f t="shared" si="5"/>
        <v>4.0000000008149073E-3</v>
      </c>
      <c r="E44" s="14">
        <f t="shared" si="5"/>
        <v>0</v>
      </c>
      <c r="F44" s="14">
        <f t="shared" si="5"/>
        <v>0</v>
      </c>
      <c r="G44" s="14">
        <f t="shared" si="5"/>
        <v>0</v>
      </c>
      <c r="H44" s="14">
        <f t="shared" si="5"/>
        <v>4.5000000391155481E-3</v>
      </c>
      <c r="I44" s="95"/>
      <c r="J44" s="96"/>
    </row>
    <row r="45" spans="1:10" x14ac:dyDescent="0.3">
      <c r="C45" s="2"/>
      <c r="D45" s="2"/>
      <c r="E45" s="2"/>
      <c r="F45" s="2"/>
      <c r="G45" s="2"/>
    </row>
    <row r="46" spans="1:10" x14ac:dyDescent="0.3">
      <c r="B46" s="7" t="s">
        <v>21</v>
      </c>
      <c r="C46" s="2"/>
      <c r="D46" s="2"/>
      <c r="E46" s="2"/>
      <c r="F46" s="2"/>
    </row>
    <row r="47" spans="1:10" x14ac:dyDescent="0.3">
      <c r="C47" s="2"/>
      <c r="D47" s="2"/>
      <c r="E47" s="2"/>
      <c r="F47" s="2"/>
    </row>
    <row r="48" spans="1:10" x14ac:dyDescent="0.3">
      <c r="B48" s="55"/>
    </row>
    <row r="49" spans="2:3" x14ac:dyDescent="0.3">
      <c r="B49" s="74"/>
      <c r="C49" s="3"/>
    </row>
    <row r="50" spans="2:3" x14ac:dyDescent="0.3">
      <c r="B50" s="58"/>
    </row>
    <row r="52" spans="2:3" x14ac:dyDescent="0.3">
      <c r="B52" s="76"/>
    </row>
    <row r="53" spans="2:3" x14ac:dyDescent="0.3">
      <c r="B53" s="7"/>
    </row>
    <row r="55" spans="2:3" x14ac:dyDescent="0.3">
      <c r="B55" s="76"/>
    </row>
    <row r="56" spans="2:3" x14ac:dyDescent="0.3">
      <c r="B56" s="75"/>
    </row>
    <row r="58" spans="2:3" x14ac:dyDescent="0.3">
      <c r="B58" s="78"/>
    </row>
    <row r="59" spans="2:3" x14ac:dyDescent="0.3">
      <c r="B59" s="69"/>
    </row>
    <row r="61" spans="2:3" x14ac:dyDescent="0.3">
      <c r="B61" s="77"/>
    </row>
    <row r="62" spans="2:3" x14ac:dyDescent="0.3">
      <c r="B62" s="79"/>
    </row>
    <row r="63" spans="2:3" x14ac:dyDescent="0.3">
      <c r="B63" s="77"/>
    </row>
    <row r="64" spans="2:3" x14ac:dyDescent="0.3">
      <c r="B64" s="59"/>
    </row>
    <row r="65" spans="2:2" x14ac:dyDescent="0.3">
      <c r="B65" s="80"/>
    </row>
    <row r="67" spans="2:2" x14ac:dyDescent="0.3">
      <c r="B67" s="63"/>
    </row>
    <row r="68" spans="2:2" x14ac:dyDescent="0.3">
      <c r="B68" s="82"/>
    </row>
    <row r="70" spans="2:2" x14ac:dyDescent="0.3">
      <c r="B70" s="84"/>
    </row>
    <row r="71" spans="2:2" x14ac:dyDescent="0.3">
      <c r="B71" s="83"/>
    </row>
    <row r="72" spans="2:2" x14ac:dyDescent="0.3">
      <c r="B72" s="83"/>
    </row>
    <row r="73" spans="2:2" x14ac:dyDescent="0.3">
      <c r="B73" s="73" t="s">
        <v>1</v>
      </c>
    </row>
    <row r="74" spans="2:2" x14ac:dyDescent="0.3">
      <c r="B74" s="101"/>
    </row>
    <row r="76" spans="2:2" x14ac:dyDescent="0.3">
      <c r="B76" s="81"/>
    </row>
    <row r="77" spans="2:2" x14ac:dyDescent="0.3">
      <c r="B77" s="87"/>
    </row>
  </sheetData>
  <pageMargins left="0.25" right="0.25"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6"/>
  <sheetViews>
    <sheetView workbookViewId="0">
      <selection activeCell="J22" sqref="J22"/>
    </sheetView>
  </sheetViews>
  <sheetFormatPr defaultRowHeight="14.4" x14ac:dyDescent="0.3"/>
  <cols>
    <col min="1" max="1" width="8.88671875" style="6"/>
    <col min="2" max="2" width="29.88671875" customWidth="1"/>
    <col min="3" max="6" width="13.44140625" customWidth="1"/>
    <col min="7" max="7" width="10.33203125" customWidth="1"/>
    <col min="8" max="8" width="11.5546875" bestFit="1" customWidth="1"/>
    <col min="9" max="9" width="11" bestFit="1" customWidth="1"/>
  </cols>
  <sheetData>
    <row r="1" spans="1:9" ht="21" x14ac:dyDescent="0.3">
      <c r="A1" s="134" t="s">
        <v>92</v>
      </c>
      <c r="B1" s="134"/>
      <c r="C1" s="134"/>
      <c r="D1" s="134"/>
      <c r="E1" s="134"/>
      <c r="F1" s="134"/>
      <c r="G1" s="134"/>
      <c r="H1" s="134"/>
    </row>
    <row r="2" spans="1:9" x14ac:dyDescent="0.3">
      <c r="C2" s="135">
        <v>516</v>
      </c>
      <c r="D2" s="135"/>
      <c r="E2" s="135"/>
      <c r="G2" t="s">
        <v>57</v>
      </c>
      <c r="H2">
        <v>84.424999999999997</v>
      </c>
    </row>
    <row r="3" spans="1:9" s="4" customFormat="1" x14ac:dyDescent="0.3">
      <c r="A3" s="6"/>
      <c r="B3" s="19">
        <v>79631.7</v>
      </c>
      <c r="C3" s="4" t="s">
        <v>91</v>
      </c>
    </row>
    <row r="4" spans="1:9" s="1" customFormat="1" ht="30" x14ac:dyDescent="0.4">
      <c r="A4" s="24" t="s">
        <v>13</v>
      </c>
      <c r="B4" s="25" t="s">
        <v>58</v>
      </c>
      <c r="C4" s="24" t="s">
        <v>0</v>
      </c>
      <c r="D4" s="24" t="s">
        <v>2</v>
      </c>
      <c r="E4" s="24" t="s">
        <v>3</v>
      </c>
      <c r="F4" s="24" t="s">
        <v>9</v>
      </c>
      <c r="G4" s="24" t="s">
        <v>4</v>
      </c>
      <c r="H4" s="24" t="s">
        <v>14</v>
      </c>
    </row>
    <row r="5" spans="1:9" s="1" customFormat="1" x14ac:dyDescent="0.3">
      <c r="A5" s="26"/>
      <c r="B5" s="27" t="s">
        <v>10</v>
      </c>
      <c r="C5" s="28"/>
      <c r="D5" s="28"/>
      <c r="E5" s="28"/>
      <c r="F5" s="28"/>
      <c r="G5" s="28">
        <v>0</v>
      </c>
      <c r="H5" s="29">
        <f>SUM(C5:G5)</f>
        <v>0</v>
      </c>
      <c r="I5" s="5">
        <f>+B3-H5</f>
        <v>79631.7</v>
      </c>
    </row>
    <row r="6" spans="1:9" s="1" customFormat="1" x14ac:dyDescent="0.3">
      <c r="A6" s="8"/>
      <c r="B6" s="9"/>
      <c r="C6" s="10"/>
      <c r="D6" s="10"/>
      <c r="E6" s="10"/>
      <c r="F6" s="10"/>
      <c r="G6" s="10"/>
      <c r="H6" s="11"/>
    </row>
    <row r="7" spans="1:9" ht="14.4" customHeight="1" x14ac:dyDescent="0.3">
      <c r="A7" s="12" t="s">
        <v>6</v>
      </c>
      <c r="B7" s="35"/>
      <c r="C7" s="35"/>
      <c r="D7" s="13"/>
      <c r="E7" s="13"/>
      <c r="F7" s="14"/>
      <c r="G7" s="14"/>
      <c r="H7" s="13"/>
    </row>
    <row r="8" spans="1:9" x14ac:dyDescent="0.3">
      <c r="A8" s="12"/>
      <c r="B8" s="35"/>
      <c r="C8" s="35"/>
      <c r="D8" s="14"/>
      <c r="E8" s="14"/>
      <c r="F8" s="14"/>
      <c r="G8" s="14"/>
      <c r="H8" s="13"/>
    </row>
    <row r="9" spans="1:9" ht="14.4" customHeight="1" x14ac:dyDescent="0.3">
      <c r="A9" s="12"/>
      <c r="B9" s="33"/>
      <c r="C9" s="33"/>
      <c r="D9" s="33"/>
      <c r="E9" s="33"/>
      <c r="F9" s="33"/>
      <c r="G9" s="14"/>
      <c r="H9" s="14"/>
    </row>
    <row r="10" spans="1:9" x14ac:dyDescent="0.3">
      <c r="A10" s="12"/>
      <c r="B10" s="33"/>
      <c r="C10" s="33"/>
      <c r="D10" s="33"/>
      <c r="E10" s="33"/>
      <c r="F10" s="33"/>
      <c r="G10" s="14"/>
      <c r="H10" s="14"/>
    </row>
    <row r="11" spans="1:9" x14ac:dyDescent="0.3">
      <c r="A11" s="12"/>
      <c r="B11" s="33"/>
      <c r="C11" s="33"/>
      <c r="D11" s="33"/>
      <c r="E11" s="33"/>
      <c r="F11" s="33"/>
      <c r="G11" s="14"/>
      <c r="H11" s="14"/>
    </row>
    <row r="12" spans="1:9" x14ac:dyDescent="0.3">
      <c r="A12" s="12"/>
      <c r="B12" s="33"/>
      <c r="C12" s="33"/>
      <c r="D12" s="33"/>
      <c r="E12" s="33"/>
      <c r="F12" s="33"/>
      <c r="G12" s="14"/>
      <c r="H12" s="14"/>
    </row>
    <row r="13" spans="1:9" x14ac:dyDescent="0.3">
      <c r="A13" s="12"/>
      <c r="B13" s="32"/>
      <c r="C13" s="33"/>
      <c r="D13" s="33"/>
      <c r="E13" s="33"/>
      <c r="F13" s="33"/>
      <c r="G13" s="14"/>
      <c r="H13" s="14"/>
    </row>
    <row r="14" spans="1:9" x14ac:dyDescent="0.3">
      <c r="A14" s="12"/>
      <c r="B14" s="17" t="s">
        <v>11</v>
      </c>
      <c r="C14" s="35"/>
      <c r="D14" s="35"/>
      <c r="E14" s="14"/>
      <c r="F14" s="14"/>
      <c r="G14" s="14"/>
      <c r="H14" s="14"/>
      <c r="I14" t="s">
        <v>1</v>
      </c>
    </row>
    <row r="15" spans="1:9" x14ac:dyDescent="0.3">
      <c r="A15" s="12"/>
      <c r="B15" s="34"/>
      <c r="C15" s="35"/>
      <c r="D15" s="35"/>
      <c r="E15" s="14"/>
      <c r="F15" s="14"/>
      <c r="G15" s="14"/>
      <c r="H15" s="14" t="s">
        <v>1</v>
      </c>
    </row>
    <row r="16" spans="1:9" s="122" customFormat="1" x14ac:dyDescent="0.3">
      <c r="A16" s="118"/>
      <c r="B16" s="119"/>
      <c r="C16" s="120"/>
      <c r="D16" s="120"/>
      <c r="E16" s="121"/>
      <c r="F16" s="121"/>
      <c r="G16" s="121"/>
      <c r="H16" s="121"/>
    </row>
    <row r="17" spans="1:8" s="122" customFormat="1" ht="21" x14ac:dyDescent="0.3">
      <c r="A17" s="134" t="s">
        <v>93</v>
      </c>
      <c r="B17" s="134"/>
      <c r="C17" s="134"/>
      <c r="D17" s="134"/>
      <c r="E17" s="134"/>
      <c r="F17" s="134"/>
      <c r="G17" s="134"/>
      <c r="H17" s="134"/>
    </row>
    <row r="18" spans="1:8" s="122" customFormat="1" x14ac:dyDescent="0.3">
      <c r="A18" s="118"/>
      <c r="B18" s="119"/>
      <c r="C18" s="135">
        <v>516</v>
      </c>
      <c r="D18" s="135"/>
      <c r="E18" s="135"/>
      <c r="F18" s="121"/>
      <c r="G18" s="121"/>
      <c r="H18" s="121"/>
    </row>
    <row r="19" spans="1:8" x14ac:dyDescent="0.3">
      <c r="A19" s="123"/>
      <c r="B19" s="19">
        <v>5898.33</v>
      </c>
      <c r="C19" s="4" t="s">
        <v>91</v>
      </c>
      <c r="D19" s="124"/>
      <c r="E19" s="124"/>
      <c r="F19" s="124"/>
      <c r="G19" s="124"/>
      <c r="H19" s="125"/>
    </row>
    <row r="20" spans="1:8" ht="30" x14ac:dyDescent="0.4">
      <c r="A20" s="24" t="s">
        <v>13</v>
      </c>
      <c r="B20" s="25" t="s">
        <v>58</v>
      </c>
      <c r="C20" s="24" t="s">
        <v>0</v>
      </c>
      <c r="D20" s="24" t="s">
        <v>2</v>
      </c>
      <c r="E20" s="24" t="s">
        <v>3</v>
      </c>
      <c r="F20" s="24" t="s">
        <v>9</v>
      </c>
      <c r="G20" s="24" t="s">
        <v>4</v>
      </c>
      <c r="H20" s="24" t="s">
        <v>14</v>
      </c>
    </row>
    <row r="21" spans="1:8" x14ac:dyDescent="0.3">
      <c r="A21" s="26"/>
      <c r="B21" s="27" t="s">
        <v>10</v>
      </c>
      <c r="C21" s="28"/>
      <c r="D21" s="28"/>
      <c r="E21" s="28"/>
      <c r="F21" s="28"/>
      <c r="G21" s="28">
        <v>0</v>
      </c>
      <c r="H21" s="29">
        <f>SUM(C21:G21)</f>
        <v>0</v>
      </c>
    </row>
    <row r="22" spans="1:8" x14ac:dyDescent="0.3">
      <c r="A22" s="12"/>
      <c r="B22" s="32"/>
      <c r="C22" s="33"/>
      <c r="D22" s="33"/>
      <c r="E22" s="33"/>
      <c r="F22" s="33"/>
      <c r="G22" s="14"/>
      <c r="H22" s="15" t="s">
        <v>1</v>
      </c>
    </row>
    <row r="23" spans="1:8" s="44" customFormat="1" x14ac:dyDescent="0.3">
      <c r="A23" s="12" t="s">
        <v>6</v>
      </c>
      <c r="B23" s="52"/>
      <c r="C23" s="45"/>
      <c r="D23" s="45"/>
      <c r="E23" s="45"/>
      <c r="F23" s="35"/>
      <c r="G23" s="35"/>
      <c r="H23" s="34"/>
    </row>
    <row r="24" spans="1:8" s="7" customFormat="1" x14ac:dyDescent="0.3">
      <c r="A24" s="20"/>
      <c r="B24" s="32"/>
      <c r="C24" s="33"/>
      <c r="D24" s="33"/>
      <c r="E24" s="33"/>
      <c r="F24" s="33"/>
      <c r="G24" s="21"/>
      <c r="H24" s="22">
        <f>SUM(C24:G24)</f>
        <v>0</v>
      </c>
    </row>
    <row r="25" spans="1:8" x14ac:dyDescent="0.3">
      <c r="A25" s="12"/>
      <c r="B25" s="16"/>
      <c r="C25" s="14"/>
      <c r="D25" s="14"/>
      <c r="E25" s="14"/>
      <c r="F25" s="14"/>
      <c r="G25" s="14"/>
      <c r="H25" s="13"/>
    </row>
    <row r="26" spans="1:8" x14ac:dyDescent="0.3">
      <c r="A26" s="12"/>
      <c r="B26" s="17" t="s">
        <v>11</v>
      </c>
      <c r="C26" s="21"/>
      <c r="D26" s="21">
        <f>SUM(D22:D25)</f>
        <v>0</v>
      </c>
      <c r="E26" s="21">
        <f>SUM(E22:E25)</f>
        <v>0</v>
      </c>
      <c r="F26" s="21">
        <f>SUM(F22:F25)</f>
        <v>0</v>
      </c>
      <c r="G26" s="14"/>
      <c r="H26" s="14">
        <f>+H5-H24</f>
        <v>0</v>
      </c>
    </row>
    <row r="27" spans="1:8" x14ac:dyDescent="0.3">
      <c r="B27" s="13"/>
      <c r="C27" s="14"/>
      <c r="D27" s="14"/>
      <c r="E27" s="14"/>
      <c r="F27" s="14"/>
      <c r="G27" s="14"/>
      <c r="H27" s="15"/>
    </row>
    <row r="28" spans="1:8" x14ac:dyDescent="0.3">
      <c r="B28" s="18" t="s">
        <v>12</v>
      </c>
      <c r="C28" s="14">
        <f>+C5-C26</f>
        <v>0</v>
      </c>
      <c r="D28" s="14">
        <f>+D5-D26</f>
        <v>0</v>
      </c>
      <c r="E28" s="14">
        <f t="shared" ref="E28:F28" si="0">+E5-E26</f>
        <v>0</v>
      </c>
      <c r="F28" s="14">
        <f t="shared" si="0"/>
        <v>0</v>
      </c>
      <c r="G28" s="14"/>
      <c r="H28" s="15"/>
    </row>
    <row r="29" spans="1:8" x14ac:dyDescent="0.3">
      <c r="B29" s="7" t="s">
        <v>19</v>
      </c>
      <c r="C29" s="2"/>
      <c r="D29" s="2"/>
      <c r="E29" s="2"/>
      <c r="F29" s="2"/>
    </row>
    <row r="30" spans="1:8" x14ac:dyDescent="0.3">
      <c r="C30" s="2"/>
      <c r="D30" s="2"/>
      <c r="E30" s="2"/>
      <c r="F30" s="2"/>
    </row>
    <row r="31" spans="1:8" s="56" customFormat="1" x14ac:dyDescent="0.3">
      <c r="A31" s="55"/>
    </row>
    <row r="32" spans="1:8" s="56" customFormat="1" x14ac:dyDescent="0.3">
      <c r="A32" s="57"/>
      <c r="B32" s="58"/>
    </row>
    <row r="33" spans="1:3" s="56" customFormat="1" x14ac:dyDescent="0.3">
      <c r="A33" s="59"/>
      <c r="C33" s="60"/>
    </row>
    <row r="34" spans="1:3" s="56" customFormat="1" x14ac:dyDescent="0.3">
      <c r="A34" s="61"/>
    </row>
    <row r="35" spans="1:3" s="56" customFormat="1" x14ac:dyDescent="0.3">
      <c r="A35" s="57"/>
      <c r="B35" s="7"/>
    </row>
    <row r="36" spans="1:3" s="56" customFormat="1" x14ac:dyDescent="0.3">
      <c r="A36" s="77"/>
    </row>
  </sheetData>
  <mergeCells count="4">
    <mergeCell ref="A17:H17"/>
    <mergeCell ref="C18:E18"/>
    <mergeCell ref="A1:H1"/>
    <mergeCell ref="C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19" sqref="B19"/>
    </sheetView>
  </sheetViews>
  <sheetFormatPr defaultRowHeight="14.4" x14ac:dyDescent="0.3"/>
  <cols>
    <col min="1" max="1" width="15.33203125" customWidth="1"/>
    <col min="2" max="2" width="11.88671875" bestFit="1" customWidth="1"/>
    <col min="3" max="3" width="12.44140625" customWidth="1"/>
    <col min="4" max="4" width="12.33203125" bestFit="1" customWidth="1"/>
    <col min="5" max="5" width="11.5546875" bestFit="1" customWidth="1"/>
    <col min="6" max="7" width="13.33203125" bestFit="1" customWidth="1"/>
  </cols>
  <sheetData>
    <row r="1" spans="1:7" s="7" customFormat="1" x14ac:dyDescent="0.3">
      <c r="A1" s="7" t="s">
        <v>23</v>
      </c>
    </row>
    <row r="2" spans="1:7" s="1" customFormat="1" ht="30.75" customHeight="1" x14ac:dyDescent="0.3">
      <c r="A2" s="24" t="s">
        <v>13</v>
      </c>
      <c r="B2" s="24" t="s">
        <v>45</v>
      </c>
      <c r="C2" s="24" t="s">
        <v>46</v>
      </c>
      <c r="D2" s="24" t="s">
        <v>47</v>
      </c>
      <c r="E2" s="24" t="s">
        <v>48</v>
      </c>
      <c r="F2" s="24" t="s">
        <v>49</v>
      </c>
      <c r="G2" s="24" t="s">
        <v>24</v>
      </c>
    </row>
    <row r="3" spans="1:7" ht="30.75" customHeight="1" x14ac:dyDescent="0.3">
      <c r="A3" s="54" t="s">
        <v>25</v>
      </c>
      <c r="B3" s="14">
        <f>42069+18468</f>
        <v>60537</v>
      </c>
      <c r="C3" s="14">
        <v>0</v>
      </c>
      <c r="D3" s="14">
        <v>0</v>
      </c>
      <c r="E3" s="14">
        <f>657.22+153+551.64</f>
        <v>1361.8600000000001</v>
      </c>
      <c r="F3" s="14">
        <v>0</v>
      </c>
      <c r="G3" s="14">
        <f>SUM(B3:F3)</f>
        <v>61898.86</v>
      </c>
    </row>
    <row r="4" spans="1:7" ht="30.75" customHeight="1" x14ac:dyDescent="0.3">
      <c r="A4" s="54" t="s">
        <v>26</v>
      </c>
      <c r="B4" s="14">
        <f>45045+19388+19421+67024+60737+59587</f>
        <v>271202</v>
      </c>
      <c r="C4" s="14">
        <f>18718+24300+16346+9337+7938+3746</f>
        <v>80385</v>
      </c>
      <c r="D4" s="14">
        <f>70000+70000</f>
        <v>140000</v>
      </c>
      <c r="E4" s="14">
        <f>1000+70000</f>
        <v>71000</v>
      </c>
      <c r="F4" s="14">
        <v>0</v>
      </c>
      <c r="G4" s="14">
        <f t="shared" ref="G4:G5" si="0">SUM(B4:F4)</f>
        <v>562587</v>
      </c>
    </row>
    <row r="5" spans="1:7" ht="30.75" customHeight="1" x14ac:dyDescent="0.3">
      <c r="A5" s="54" t="s">
        <v>27</v>
      </c>
      <c r="B5" s="14">
        <f>45000+20000+68692+63000+63000+22000</f>
        <v>281692</v>
      </c>
      <c r="C5" s="14">
        <f>7000+4000+18930.36+25000+17000+10000</f>
        <v>81930.36</v>
      </c>
      <c r="D5" s="14">
        <f>55000+70000</f>
        <v>125000</v>
      </c>
      <c r="E5" s="14">
        <f>72413+1000</f>
        <v>73413</v>
      </c>
      <c r="F5" s="14">
        <v>0</v>
      </c>
      <c r="G5" s="14">
        <f t="shared" si="0"/>
        <v>562035.36</v>
      </c>
    </row>
    <row r="6" spans="1:7" ht="30.75" customHeight="1" x14ac:dyDescent="0.3">
      <c r="A6" s="54" t="s">
        <v>24</v>
      </c>
      <c r="B6" s="15">
        <f>SUM(B3:B5)</f>
        <v>613431</v>
      </c>
      <c r="C6" s="15">
        <f t="shared" ref="C6:G6" si="1">SUM(C3:C5)</f>
        <v>162315.35999999999</v>
      </c>
      <c r="D6" s="15">
        <f t="shared" si="1"/>
        <v>265000</v>
      </c>
      <c r="E6" s="15">
        <f t="shared" si="1"/>
        <v>145774.85999999999</v>
      </c>
      <c r="F6" s="15">
        <f t="shared" si="1"/>
        <v>0</v>
      </c>
      <c r="G6" s="15">
        <f t="shared" si="1"/>
        <v>1186521.22</v>
      </c>
    </row>
    <row r="9" spans="1:7" s="7" customFormat="1" x14ac:dyDescent="0.3">
      <c r="A9" s="7" t="s">
        <v>44</v>
      </c>
    </row>
    <row r="10" spans="1:7" s="1" customFormat="1" ht="30" customHeight="1" x14ac:dyDescent="0.3">
      <c r="A10" s="53" t="s">
        <v>13</v>
      </c>
      <c r="B10" s="53" t="s">
        <v>0</v>
      </c>
      <c r="C10" s="53" t="s">
        <v>2</v>
      </c>
      <c r="D10" s="53" t="s">
        <v>3</v>
      </c>
      <c r="E10" s="53" t="s">
        <v>9</v>
      </c>
      <c r="F10" s="53" t="s">
        <v>4</v>
      </c>
      <c r="G10" s="53" t="s">
        <v>24</v>
      </c>
    </row>
    <row r="11" spans="1:7" ht="30" customHeight="1" x14ac:dyDescent="0.3">
      <c r="A11" s="54" t="s">
        <v>25</v>
      </c>
      <c r="B11" s="14">
        <v>0</v>
      </c>
      <c r="C11" s="14">
        <v>0</v>
      </c>
      <c r="D11" s="14">
        <v>0</v>
      </c>
      <c r="E11" s="14">
        <f>13554+12187+4500</f>
        <v>30241</v>
      </c>
      <c r="F11" s="14">
        <v>0</v>
      </c>
      <c r="G11" s="14">
        <f>SUM(B11:F11)</f>
        <v>30241</v>
      </c>
    </row>
    <row r="12" spans="1:7" ht="30" customHeight="1" x14ac:dyDescent="0.3">
      <c r="A12" s="54" t="s">
        <v>26</v>
      </c>
      <c r="B12" s="14">
        <f>45000+45000+60000</f>
        <v>150000</v>
      </c>
      <c r="C12" s="14">
        <f>20000+20000+25000</f>
        <v>65000</v>
      </c>
      <c r="D12" s="14">
        <f>51600+50000+21000+30000</f>
        <v>152600</v>
      </c>
      <c r="E12" s="14">
        <f>229.75+1234.15+6579.92+14000+12750.18+50000+8432+2400</f>
        <v>95626</v>
      </c>
      <c r="F12" s="14">
        <f>30000+70000+90000+250000+69000</f>
        <v>509000</v>
      </c>
      <c r="G12" s="14">
        <f t="shared" ref="G12:G13" si="2">SUM(B12:F12)</f>
        <v>972226</v>
      </c>
    </row>
    <row r="13" spans="1:7" ht="30" customHeight="1" x14ac:dyDescent="0.3">
      <c r="A13" s="54" t="s">
        <v>27</v>
      </c>
      <c r="B13" s="14">
        <f>65000+50000+50000+50000</f>
        <v>215000</v>
      </c>
      <c r="C13" s="14">
        <f>22000+22000+22000</f>
        <v>66000</v>
      </c>
      <c r="D13" s="14">
        <f>35000+52000+52000+21000</f>
        <v>160000</v>
      </c>
      <c r="E13" s="14">
        <f>14000+12500+4500+50000</f>
        <v>81000</v>
      </c>
      <c r="F13" s="14">
        <f>600000+69273</f>
        <v>669273</v>
      </c>
      <c r="G13" s="14">
        <f t="shared" si="2"/>
        <v>1191273</v>
      </c>
    </row>
    <row r="14" spans="1:7" ht="30" customHeight="1" x14ac:dyDescent="0.3">
      <c r="A14" s="54" t="s">
        <v>24</v>
      </c>
      <c r="B14" s="15">
        <f>SUM(B11:B13)</f>
        <v>365000</v>
      </c>
      <c r="C14" s="15">
        <f t="shared" ref="C14:G14" si="3">SUM(C11:C13)</f>
        <v>131000</v>
      </c>
      <c r="D14" s="15">
        <f t="shared" si="3"/>
        <v>312600</v>
      </c>
      <c r="E14" s="15">
        <f t="shared" si="3"/>
        <v>206867</v>
      </c>
      <c r="F14" s="15">
        <f t="shared" si="3"/>
        <v>1178273</v>
      </c>
      <c r="G14" s="15">
        <f t="shared" si="3"/>
        <v>2193740</v>
      </c>
    </row>
    <row r="17" spans="1:7" s="7" customFormat="1" x14ac:dyDescent="0.3">
      <c r="A17" s="7" t="s">
        <v>28</v>
      </c>
    </row>
    <row r="18" spans="1:7" s="1" customFormat="1" ht="28.8" x14ac:dyDescent="0.3">
      <c r="A18" s="30" t="s">
        <v>13</v>
      </c>
      <c r="B18" s="30" t="s">
        <v>0</v>
      </c>
      <c r="C18" s="30" t="s">
        <v>2</v>
      </c>
      <c r="D18" s="30" t="s">
        <v>3</v>
      </c>
      <c r="E18" s="30" t="s">
        <v>9</v>
      </c>
      <c r="F18" s="30" t="s">
        <v>4</v>
      </c>
      <c r="G18" s="30" t="s">
        <v>24</v>
      </c>
    </row>
    <row r="19" spans="1:7" ht="31.5" customHeight="1" x14ac:dyDescent="0.3">
      <c r="A19" s="13" t="s">
        <v>29</v>
      </c>
      <c r="B19" s="15">
        <f>+B5+B13</f>
        <v>496692</v>
      </c>
      <c r="C19" s="15">
        <f>+C13+C5</f>
        <v>147930.35999999999</v>
      </c>
      <c r="D19" s="15">
        <f>+D5</f>
        <v>125000</v>
      </c>
      <c r="E19" s="15">
        <f>+E5</f>
        <v>73413</v>
      </c>
      <c r="F19" s="13">
        <v>0</v>
      </c>
      <c r="G19" s="15">
        <f>SUM(B19:F19)</f>
        <v>843035.36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7" sqref="E7:E8"/>
    </sheetView>
  </sheetViews>
  <sheetFormatPr defaultRowHeight="14.4" x14ac:dyDescent="0.3"/>
  <cols>
    <col min="1" max="1" width="55" bestFit="1" customWidth="1"/>
    <col min="2" max="2" width="1.33203125" customWidth="1"/>
    <col min="3" max="3" width="12.109375" style="131" bestFit="1" customWidth="1"/>
    <col min="4" max="4" width="20.33203125" customWidth="1"/>
    <col min="5" max="5" width="83.77734375" customWidth="1"/>
    <col min="6" max="6" width="81.44140625" customWidth="1"/>
  </cols>
  <sheetData>
    <row r="1" spans="1:6" ht="23.4" x14ac:dyDescent="0.3">
      <c r="A1" s="153" t="s">
        <v>100</v>
      </c>
      <c r="B1" s="153"/>
      <c r="C1" s="153"/>
      <c r="D1" s="153"/>
      <c r="E1" s="153"/>
      <c r="F1" s="153"/>
    </row>
    <row r="2" spans="1:6" s="126" customFormat="1" ht="41.4" x14ac:dyDescent="0.3">
      <c r="A2" s="126" t="s">
        <v>101</v>
      </c>
      <c r="C2" s="127" t="s">
        <v>102</v>
      </c>
      <c r="D2" s="127" t="s">
        <v>103</v>
      </c>
      <c r="E2" s="126" t="s">
        <v>104</v>
      </c>
      <c r="F2" s="126" t="s">
        <v>105</v>
      </c>
    </row>
    <row r="3" spans="1:6" ht="15.6" x14ac:dyDescent="0.3">
      <c r="A3" s="128" t="s">
        <v>106</v>
      </c>
      <c r="C3" s="147">
        <v>210678.31</v>
      </c>
      <c r="D3" s="135" t="s">
        <v>107</v>
      </c>
      <c r="E3" s="150" t="s">
        <v>108</v>
      </c>
      <c r="F3" s="146" t="s">
        <v>109</v>
      </c>
    </row>
    <row r="4" spans="1:6" ht="28.8" x14ac:dyDescent="0.3">
      <c r="A4" s="129" t="s">
        <v>110</v>
      </c>
      <c r="C4" s="147"/>
      <c r="D4" s="135"/>
      <c r="E4" s="150"/>
      <c r="F4" s="146"/>
    </row>
    <row r="5" spans="1:6" ht="15.6" x14ac:dyDescent="0.3">
      <c r="A5" s="128" t="s">
        <v>111</v>
      </c>
      <c r="C5" s="152">
        <v>132998.66</v>
      </c>
      <c r="D5" s="152">
        <f>820890.38-C5</f>
        <v>687891.72</v>
      </c>
      <c r="E5" s="150" t="s">
        <v>112</v>
      </c>
      <c r="F5" s="150" t="s">
        <v>113</v>
      </c>
    </row>
    <row r="6" spans="1:6" ht="43.2" x14ac:dyDescent="0.3">
      <c r="A6" s="129" t="s">
        <v>114</v>
      </c>
      <c r="C6" s="152"/>
      <c r="D6" s="152"/>
      <c r="E6" s="150"/>
      <c r="F6" s="154"/>
    </row>
    <row r="7" spans="1:6" ht="15.6" x14ac:dyDescent="0.3">
      <c r="A7" s="128" t="s">
        <v>115</v>
      </c>
      <c r="C7" s="152"/>
      <c r="D7" s="152">
        <v>1845114.93</v>
      </c>
      <c r="E7" s="146" t="s">
        <v>109</v>
      </c>
      <c r="F7" s="130" t="s">
        <v>116</v>
      </c>
    </row>
    <row r="8" spans="1:6" ht="57.6" x14ac:dyDescent="0.3">
      <c r="A8" s="129" t="s">
        <v>117</v>
      </c>
      <c r="C8" s="152"/>
      <c r="D8" s="152"/>
      <c r="E8" s="146"/>
      <c r="F8" s="129" t="s">
        <v>118</v>
      </c>
    </row>
    <row r="9" spans="1:6" ht="15.6" x14ac:dyDescent="0.3">
      <c r="A9" s="128" t="s">
        <v>119</v>
      </c>
      <c r="C9" s="152"/>
      <c r="D9" s="152">
        <f>79631.7+5898.33</f>
        <v>85530.03</v>
      </c>
      <c r="E9" s="146" t="s">
        <v>109</v>
      </c>
      <c r="F9" s="150" t="s">
        <v>120</v>
      </c>
    </row>
    <row r="10" spans="1:6" ht="28.8" x14ac:dyDescent="0.3">
      <c r="A10" s="129" t="s">
        <v>121</v>
      </c>
      <c r="C10" s="152"/>
      <c r="D10" s="152"/>
      <c r="E10" s="146"/>
      <c r="F10" s="150"/>
    </row>
    <row r="11" spans="1:6" ht="15.6" x14ac:dyDescent="0.3">
      <c r="A11" s="128" t="s">
        <v>122</v>
      </c>
      <c r="C11" s="131">
        <v>24287.3</v>
      </c>
      <c r="D11" t="s">
        <v>107</v>
      </c>
      <c r="E11" s="150" t="s">
        <v>123</v>
      </c>
      <c r="F11" s="146" t="s">
        <v>109</v>
      </c>
    </row>
    <row r="12" spans="1:6" ht="28.8" x14ac:dyDescent="0.3">
      <c r="A12" s="129" t="s">
        <v>124</v>
      </c>
      <c r="E12" s="150"/>
      <c r="F12" s="146"/>
    </row>
    <row r="13" spans="1:6" ht="15.6" x14ac:dyDescent="0.3">
      <c r="A13" s="128" t="s">
        <v>125</v>
      </c>
      <c r="C13" s="131">
        <v>88389.84</v>
      </c>
      <c r="D13" t="s">
        <v>107</v>
      </c>
      <c r="E13" s="150" t="s">
        <v>126</v>
      </c>
      <c r="F13" s="146" t="s">
        <v>109</v>
      </c>
    </row>
    <row r="14" spans="1:6" x14ac:dyDescent="0.3">
      <c r="A14" t="s">
        <v>127</v>
      </c>
      <c r="E14" s="150"/>
      <c r="F14" s="146"/>
    </row>
    <row r="15" spans="1:6" ht="15.6" x14ac:dyDescent="0.3">
      <c r="A15" s="128" t="s">
        <v>128</v>
      </c>
      <c r="C15" s="147">
        <v>36400</v>
      </c>
      <c r="D15" s="135" t="s">
        <v>107</v>
      </c>
      <c r="E15" s="150" t="s">
        <v>129</v>
      </c>
      <c r="F15" s="146" t="s">
        <v>109</v>
      </c>
    </row>
    <row r="16" spans="1:6" ht="72" x14ac:dyDescent="0.3">
      <c r="A16" s="132" t="s">
        <v>130</v>
      </c>
      <c r="C16" s="147"/>
      <c r="D16" s="135"/>
      <c r="E16" s="150"/>
      <c r="F16" s="146"/>
    </row>
    <row r="17" spans="1:6" ht="15.6" x14ac:dyDescent="0.3">
      <c r="A17" s="128" t="s">
        <v>131</v>
      </c>
      <c r="C17" s="147">
        <v>16800</v>
      </c>
      <c r="D17" s="135" t="s">
        <v>107</v>
      </c>
      <c r="E17" s="150" t="s">
        <v>132</v>
      </c>
      <c r="F17" s="146" t="s">
        <v>109</v>
      </c>
    </row>
    <row r="18" spans="1:6" ht="72.599999999999994" thickBot="1" x14ac:dyDescent="0.35">
      <c r="A18" s="132" t="s">
        <v>133</v>
      </c>
      <c r="C18" s="148"/>
      <c r="D18" s="149"/>
      <c r="E18" s="150"/>
      <c r="F18" s="146"/>
    </row>
    <row r="19" spans="1:6" ht="15" thickTop="1" x14ac:dyDescent="0.3">
      <c r="A19" s="151" t="s">
        <v>134</v>
      </c>
      <c r="B19" s="151"/>
      <c r="C19" s="131">
        <f>SUM(C3:C18)</f>
        <v>509554.11</v>
      </c>
    </row>
    <row r="20" spans="1:6" x14ac:dyDescent="0.3">
      <c r="A20" s="151" t="s">
        <v>135</v>
      </c>
      <c r="B20" s="151"/>
      <c r="D20" s="133">
        <f>D5+D7+D9</f>
        <v>2618536.6799999997</v>
      </c>
    </row>
  </sheetData>
  <mergeCells count="30">
    <mergeCell ref="C5:C6"/>
    <mergeCell ref="D5:D6"/>
    <mergeCell ref="E5:E6"/>
    <mergeCell ref="F5:F6"/>
    <mergeCell ref="A1:F1"/>
    <mergeCell ref="C3:C4"/>
    <mergeCell ref="D3:D4"/>
    <mergeCell ref="E3:E4"/>
    <mergeCell ref="F3:F4"/>
    <mergeCell ref="C7:C8"/>
    <mergeCell ref="D7:D8"/>
    <mergeCell ref="E7:E8"/>
    <mergeCell ref="C9:C10"/>
    <mergeCell ref="D9:D10"/>
    <mergeCell ref="E9:E10"/>
    <mergeCell ref="A20:B20"/>
    <mergeCell ref="F9:F10"/>
    <mergeCell ref="E11:E12"/>
    <mergeCell ref="F11:F12"/>
    <mergeCell ref="E13:E14"/>
    <mergeCell ref="F13:F14"/>
    <mergeCell ref="C15:C16"/>
    <mergeCell ref="D15:D16"/>
    <mergeCell ref="E15:E16"/>
    <mergeCell ref="F15:F16"/>
    <mergeCell ref="C17:C18"/>
    <mergeCell ref="D17:D18"/>
    <mergeCell ref="E17:E18"/>
    <mergeCell ref="F17:F18"/>
    <mergeCell ref="A19:B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D65CB4E809C409D2F5DDFB2AB1D32" ma:contentTypeVersion="12" ma:contentTypeDescription="Create a new document." ma:contentTypeScope="" ma:versionID="8d3c1c4b6538acaf3003f817ba4e7afa">
  <xsd:schema xmlns:xsd="http://www.w3.org/2001/XMLSchema" xmlns:xs="http://www.w3.org/2001/XMLSchema" xmlns:p="http://schemas.microsoft.com/office/2006/metadata/properties" xmlns:ns2="9133d7fa-23dc-48c1-b072-9371450479ec" xmlns:ns3="1a84d927-10f7-4086-8e96-5efd223e83a3" targetNamespace="http://schemas.microsoft.com/office/2006/metadata/properties" ma:root="true" ma:fieldsID="20d1351e5a503f724b3c7bce8fcebec1" ns2:_="" ns3:_="">
    <xsd:import namespace="9133d7fa-23dc-48c1-b072-9371450479ec"/>
    <xsd:import namespace="1a84d927-10f7-4086-8e96-5efd223e83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3d7fa-23dc-48c1-b072-9371450479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84d927-10f7-4086-8e96-5efd223e83a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870A4F-A029-463A-9953-4434FB0A8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3d7fa-23dc-48c1-b072-9371450479ec"/>
    <ds:schemaRef ds:uri="1a84d927-10f7-4086-8e96-5efd223e8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98B75-25AB-49F0-B662-6FDBA43CE350}">
  <ds:schemaRefs>
    <ds:schemaRef ds:uri="http://purl.org/dc/elements/1.1/"/>
    <ds:schemaRef ds:uri="http://schemas.microsoft.com/office/2006/metadata/properties"/>
    <ds:schemaRef ds:uri="http://purl.org/dc/terms/"/>
    <ds:schemaRef ds:uri="9133d7fa-23dc-48c1-b072-9371450479ec"/>
    <ds:schemaRef ds:uri="http://schemas.microsoft.com/office/2006/documentManagement/types"/>
    <ds:schemaRef ds:uri="1a84d927-10f7-4086-8e96-5efd223e83a3"/>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DCF44ED-DE03-4244-8F2E-F2BB3A7C29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ESSER I</vt:lpstr>
      <vt:lpstr>ESSER II</vt:lpstr>
      <vt:lpstr>ARP ESSER III</vt:lpstr>
      <vt:lpstr>ARP IDEA</vt:lpstr>
      <vt:lpstr>5 yr Forecast Distribution</vt:lpstr>
      <vt:lpstr>ESSER EXPLAINED</vt:lpstr>
      <vt:lpstr>'ARP ESSER III'!Print_Area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Breehl</dc:creator>
  <cp:lastModifiedBy>Bradd Stevens</cp:lastModifiedBy>
  <cp:lastPrinted>2021-08-11T17:46:00Z</cp:lastPrinted>
  <dcterms:created xsi:type="dcterms:W3CDTF">2021-04-20T12:51:59Z</dcterms:created>
  <dcterms:modified xsi:type="dcterms:W3CDTF">2021-12-17T14:50:00Z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0x010100122D65CB4E809C409D2F5DDFB2AB1D32</vt:lpwstr>
  </property>
</Properties>
</file>